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50" windowWidth="9555" windowHeight="7680"/>
  </bookViews>
  <sheets>
    <sheet name="ORÇAMENTO" sheetId="4" r:id="rId1"/>
    <sheet name="CRONOGRAMA" sheetId="1" r:id="rId2"/>
    <sheet name="Plan2" sheetId="2" r:id="rId3"/>
    <sheet name="Plan3" sheetId="3" r:id="rId4"/>
  </sheets>
  <definedNames>
    <definedName name="_xlnm.Print_Area" localSheetId="1">CRONOGRAMA!$B$1:$M$85</definedName>
    <definedName name="_xlnm.Print_Area" localSheetId="0">ORÇAMENTO!$B$1:$J$258</definedName>
    <definedName name="_xlnm.Print_Titles" localSheetId="1">CRONOGRAMA!$1:$11</definedName>
    <definedName name="_xlnm.Print_Titles" localSheetId="0">ORÇAMENTO!$1:$6</definedName>
  </definedNames>
  <calcPr calcId="124519"/>
</workbook>
</file>

<file path=xl/calcChain.xml><?xml version="1.0" encoding="utf-8"?>
<calcChain xmlns="http://schemas.openxmlformats.org/spreadsheetml/2006/main">
  <c r="L254" i="4"/>
  <c r="L256"/>
  <c r="L255"/>
  <c r="K252"/>
  <c r="H236"/>
  <c r="H248"/>
  <c r="H196"/>
  <c r="H237"/>
  <c r="H229"/>
  <c r="H230" s="1"/>
  <c r="H225"/>
  <c r="H224"/>
  <c r="H223"/>
  <c r="H222"/>
  <c r="H226" s="1"/>
  <c r="H228" s="1"/>
  <c r="H221"/>
  <c r="H197"/>
  <c r="H189"/>
  <c r="H190" s="1"/>
  <c r="H185"/>
  <c r="H184"/>
  <c r="H183"/>
  <c r="H182"/>
  <c r="H186" s="1"/>
  <c r="H188" s="1"/>
  <c r="H181"/>
  <c r="H158"/>
  <c r="H157"/>
  <c r="H150"/>
  <c r="H151" s="1"/>
  <c r="H146"/>
  <c r="H145"/>
  <c r="H144"/>
  <c r="H143"/>
  <c r="H147" s="1"/>
  <c r="H149" s="1"/>
  <c r="H142"/>
  <c r="H118"/>
  <c r="H117"/>
  <c r="H111"/>
  <c r="H112" s="1"/>
  <c r="H110"/>
  <c r="H106"/>
  <c r="H105"/>
  <c r="H104"/>
  <c r="H108" s="1"/>
  <c r="H103"/>
  <c r="H107" s="1"/>
  <c r="H109" s="1"/>
  <c r="H102"/>
  <c r="H218"/>
  <c r="H217"/>
  <c r="H216"/>
  <c r="H214"/>
  <c r="H215" s="1"/>
  <c r="H213"/>
  <c r="H212"/>
  <c r="H219" s="1"/>
  <c r="H178"/>
  <c r="H177"/>
  <c r="H176"/>
  <c r="H174"/>
  <c r="H175" s="1"/>
  <c r="H173"/>
  <c r="H172"/>
  <c r="H179" s="1"/>
  <c r="H140"/>
  <c r="H139"/>
  <c r="H138"/>
  <c r="H137"/>
  <c r="H136"/>
  <c r="H135"/>
  <c r="H134"/>
  <c r="H133"/>
  <c r="H97"/>
  <c r="H98" s="1"/>
  <c r="H99" s="1"/>
  <c r="H94"/>
  <c r="H93"/>
  <c r="H95" s="1"/>
  <c r="H96" s="1"/>
  <c r="H78"/>
  <c r="H77"/>
  <c r="H72"/>
  <c r="H71"/>
  <c r="H73" s="1"/>
  <c r="H70"/>
  <c r="H66"/>
  <c r="H65"/>
  <c r="H64"/>
  <c r="H68" s="1"/>
  <c r="H63"/>
  <c r="H67" s="1"/>
  <c r="H69" s="1"/>
  <c r="H62"/>
  <c r="H60"/>
  <c r="H59"/>
  <c r="H58"/>
  <c r="H57"/>
  <c r="H56"/>
  <c r="H55"/>
  <c r="H54"/>
  <c r="H53"/>
  <c r="H38"/>
  <c r="H37"/>
  <c r="H27"/>
  <c r="H33"/>
  <c r="H32"/>
  <c r="H28"/>
  <c r="H18"/>
  <c r="H14"/>
  <c r="H13"/>
  <c r="H231" l="1"/>
  <c r="H232"/>
  <c r="H227"/>
  <c r="H191"/>
  <c r="H192"/>
  <c r="H187"/>
  <c r="H152"/>
  <c r="H148" s="1"/>
  <c r="H153"/>
  <c r="H113"/>
  <c r="H100"/>
  <c r="H249" l="1"/>
  <c r="H29"/>
  <c r="K234"/>
  <c r="H30"/>
  <c r="H26"/>
  <c r="H24"/>
  <c r="H22"/>
  <c r="H20"/>
  <c r="H19"/>
  <c r="H17"/>
  <c r="H15"/>
  <c r="J185" l="1"/>
  <c r="E64" i="1"/>
  <c r="M64" s="1"/>
  <c r="E54"/>
  <c r="L54" s="1"/>
  <c r="E34"/>
  <c r="J34" s="1"/>
  <c r="E24"/>
  <c r="F24" s="1"/>
  <c r="J237" i="4"/>
  <c r="J197"/>
  <c r="J38"/>
  <c r="J144"/>
  <c r="J143"/>
  <c r="J142"/>
  <c r="J223"/>
  <c r="J183"/>
  <c r="J104"/>
  <c r="J64"/>
  <c r="J62"/>
  <c r="J249"/>
  <c r="J248"/>
  <c r="J242"/>
  <c r="J241"/>
  <c r="J236"/>
  <c r="J221"/>
  <c r="J220"/>
  <c r="J213"/>
  <c r="J219"/>
  <c r="J208"/>
  <c r="J209" s="1"/>
  <c r="J196"/>
  <c r="J202"/>
  <c r="J201"/>
  <c r="J184"/>
  <c r="J181"/>
  <c r="J180"/>
  <c r="J173"/>
  <c r="J179"/>
  <c r="J168"/>
  <c r="J169" s="1"/>
  <c r="J157"/>
  <c r="J158" s="1"/>
  <c r="E48" i="1" s="1"/>
  <c r="M48" s="1"/>
  <c r="J162" i="4"/>
  <c r="J161"/>
  <c r="J141"/>
  <c r="J137"/>
  <c r="J134"/>
  <c r="J133"/>
  <c r="J129"/>
  <c r="J130" s="1"/>
  <c r="E44" i="1" s="1"/>
  <c r="K44" s="1"/>
  <c r="J117" i="4"/>
  <c r="J123"/>
  <c r="J122"/>
  <c r="J118"/>
  <c r="J101"/>
  <c r="J94"/>
  <c r="J89"/>
  <c r="J90" s="1"/>
  <c r="J77"/>
  <c r="H25"/>
  <c r="J25" s="1"/>
  <c r="J59"/>
  <c r="J83"/>
  <c r="J82"/>
  <c r="J78"/>
  <c r="J61"/>
  <c r="J54"/>
  <c r="J49"/>
  <c r="J50" s="1"/>
  <c r="J37"/>
  <c r="J14"/>
  <c r="J22"/>
  <c r="J24"/>
  <c r="H23"/>
  <c r="J23" s="1"/>
  <c r="J43"/>
  <c r="J42"/>
  <c r="J21"/>
  <c r="J9"/>
  <c r="J10" s="1"/>
  <c r="E14" i="1" s="1"/>
  <c r="I14" s="1"/>
  <c r="J39" i="4" l="1"/>
  <c r="E18" i="1" s="1"/>
  <c r="M18" s="1"/>
  <c r="J250" i="4"/>
  <c r="J28"/>
  <c r="J228"/>
  <c r="J13"/>
  <c r="J69"/>
  <c r="J106"/>
  <c r="J112"/>
  <c r="J26"/>
  <c r="J188"/>
  <c r="J225"/>
  <c r="J192"/>
  <c r="J119"/>
  <c r="E38" i="1" s="1"/>
  <c r="J79" i="4"/>
  <c r="E28" i="1" s="1"/>
  <c r="J20" i="4"/>
  <c r="J84"/>
  <c r="E30" i="1" s="1"/>
  <c r="J140" i="4"/>
  <c r="J163"/>
  <c r="E50" i="1" s="1"/>
  <c r="M50" s="1"/>
  <c r="J203" i="4"/>
  <c r="E60" i="1" s="1"/>
  <c r="M60" s="1"/>
  <c r="J44" i="4"/>
  <c r="E20" i="1" s="1"/>
  <c r="M20" s="1"/>
  <c r="J198" i="4"/>
  <c r="E58" i="1" s="1"/>
  <c r="M58" s="1"/>
  <c r="J153" i="4"/>
  <c r="J151"/>
  <c r="J146"/>
  <c r="J224"/>
  <c r="J191"/>
  <c r="J111"/>
  <c r="J113"/>
  <c r="J107"/>
  <c r="J102"/>
  <c r="J72"/>
  <c r="J71"/>
  <c r="J73"/>
  <c r="J66"/>
  <c r="H16"/>
  <c r="J16" s="1"/>
  <c r="J15"/>
  <c r="J238"/>
  <c r="E68" i="1" s="1"/>
  <c r="M68" s="1"/>
  <c r="J60" i="4"/>
  <c r="J65"/>
  <c r="J124"/>
  <c r="E40" i="1" s="1"/>
  <c r="M40" s="1"/>
  <c r="J243" i="4"/>
  <c r="E70" i="1" s="1"/>
  <c r="M70" s="1"/>
  <c r="J226" i="4"/>
  <c r="J218"/>
  <c r="J217"/>
  <c r="J212"/>
  <c r="J216"/>
  <c r="J222"/>
  <c r="J182"/>
  <c r="J177"/>
  <c r="J178"/>
  <c r="J172"/>
  <c r="J176"/>
  <c r="J139"/>
  <c r="J150"/>
  <c r="J138"/>
  <c r="J145"/>
  <c r="J103"/>
  <c r="J105"/>
  <c r="J95"/>
  <c r="J96"/>
  <c r="J98"/>
  <c r="J99"/>
  <c r="J93"/>
  <c r="J97"/>
  <c r="J110"/>
  <c r="J100"/>
  <c r="J109"/>
  <c r="J53"/>
  <c r="J57"/>
  <c r="J18"/>
  <c r="J19"/>
  <c r="J17"/>
  <c r="J56"/>
  <c r="J55"/>
  <c r="J67"/>
  <c r="J58"/>
  <c r="J63"/>
  <c r="J70"/>
  <c r="L18" i="1" l="1"/>
  <c r="E74"/>
  <c r="L28"/>
  <c r="K28"/>
  <c r="M30"/>
  <c r="L30"/>
  <c r="L38"/>
  <c r="M38"/>
  <c r="J32" i="4"/>
  <c r="J186"/>
  <c r="J152"/>
  <c r="J148"/>
  <c r="J147"/>
  <c r="J230"/>
  <c r="J232"/>
  <c r="J187"/>
  <c r="J108"/>
  <c r="J114" s="1"/>
  <c r="J68"/>
  <c r="J33"/>
  <c r="J30"/>
  <c r="J27"/>
  <c r="J29"/>
  <c r="H31"/>
  <c r="J31" s="1"/>
  <c r="J229"/>
  <c r="J215"/>
  <c r="J214"/>
  <c r="J189"/>
  <c r="J190"/>
  <c r="J175"/>
  <c r="J174"/>
  <c r="J149"/>
  <c r="J135"/>
  <c r="J136"/>
  <c r="J74"/>
  <c r="M74" i="1" l="1"/>
  <c r="F74"/>
  <c r="J34" i="4"/>
  <c r="E16" i="1" s="1"/>
  <c r="J125" i="4"/>
  <c r="E36" i="1"/>
  <c r="J85" i="4"/>
  <c r="E26" i="1"/>
  <c r="J231" i="4"/>
  <c r="J227"/>
  <c r="J193"/>
  <c r="J154"/>
  <c r="J233" l="1"/>
  <c r="E66" i="1" s="1"/>
  <c r="M66" s="1"/>
  <c r="J45" i="4"/>
  <c r="J204"/>
  <c r="E56" i="1"/>
  <c r="E46"/>
  <c r="J164" i="4"/>
  <c r="L36" i="1"/>
  <c r="K36"/>
  <c r="J36"/>
  <c r="K26"/>
  <c r="F26"/>
  <c r="F79" s="1"/>
  <c r="F80" s="1"/>
  <c r="H26"/>
  <c r="H79" s="1"/>
  <c r="G26"/>
  <c r="G79" s="1"/>
  <c r="J26"/>
  <c r="L16"/>
  <c r="J16"/>
  <c r="I16"/>
  <c r="I79" s="1"/>
  <c r="K245" i="4" l="1"/>
  <c r="J252"/>
  <c r="J79" i="1"/>
  <c r="J244" i="4"/>
  <c r="L56" i="1"/>
  <c r="M56"/>
  <c r="M46"/>
  <c r="L46"/>
  <c r="K46"/>
  <c r="K79" s="1"/>
  <c r="E80"/>
  <c r="D16" s="1"/>
  <c r="G80"/>
  <c r="H80" s="1"/>
  <c r="I80" s="1"/>
  <c r="M79" l="1"/>
  <c r="M77" s="1"/>
  <c r="J80"/>
  <c r="K80" s="1"/>
  <c r="L79"/>
  <c r="D40"/>
  <c r="D44"/>
  <c r="D64"/>
  <c r="D68"/>
  <c r="D30"/>
  <c r="H77"/>
  <c r="D38"/>
  <c r="D20"/>
  <c r="D24"/>
  <c r="D18"/>
  <c r="D66"/>
  <c r="D50"/>
  <c r="J77"/>
  <c r="K77"/>
  <c r="I77"/>
  <c r="D54"/>
  <c r="D60"/>
  <c r="D26"/>
  <c r="D34"/>
  <c r="D70"/>
  <c r="F77"/>
  <c r="F78" s="1"/>
  <c r="D74"/>
  <c r="D36"/>
  <c r="D28"/>
  <c r="D58"/>
  <c r="D14"/>
  <c r="D56"/>
  <c r="D48"/>
  <c r="D46"/>
  <c r="G77"/>
  <c r="L80" l="1"/>
  <c r="M80" s="1"/>
  <c r="G78"/>
  <c r="H78" s="1"/>
  <c r="I78" s="1"/>
  <c r="J78" s="1"/>
  <c r="K78" s="1"/>
  <c r="L77"/>
  <c r="D78"/>
  <c r="L78" l="1"/>
  <c r="M78" s="1"/>
</calcChain>
</file>

<file path=xl/sharedStrings.xml><?xml version="1.0" encoding="utf-8"?>
<sst xmlns="http://schemas.openxmlformats.org/spreadsheetml/2006/main" count="623" uniqueCount="131">
  <si>
    <t>CRONOGRAMA FÍSICO-FINANCEIRO</t>
  </si>
  <si>
    <t>1° mês</t>
  </si>
  <si>
    <t>2° mês</t>
  </si>
  <si>
    <t>3° mês</t>
  </si>
  <si>
    <t>4° mês</t>
  </si>
  <si>
    <t>5° mês</t>
  </si>
  <si>
    <t>6° mês</t>
  </si>
  <si>
    <t>7° mês</t>
  </si>
  <si>
    <t>8° mês</t>
  </si>
  <si>
    <t>PAVIMENTAÇÃO</t>
  </si>
  <si>
    <t>DRENAGEM</t>
  </si>
  <si>
    <t>m</t>
  </si>
  <si>
    <t>OBRAS COMPLEMENTARES</t>
  </si>
  <si>
    <t>m²</t>
  </si>
  <si>
    <t>SERVIÇOS PRELIMINARES</t>
  </si>
  <si>
    <t>T</t>
  </si>
  <si>
    <t>PLANILHA ORÇAMENTÁRIA</t>
  </si>
  <si>
    <t xml:space="preserve">OBRA:         </t>
  </si>
  <si>
    <t xml:space="preserve"> OBRA DE PAVIMENTAÇÃO ASFÁLTICA EM TSD E MICROREVESTIMENTO</t>
  </si>
  <si>
    <t>LOCAL:</t>
  </si>
  <si>
    <t>CIDADE OCIDENTAL - GO</t>
  </si>
  <si>
    <t>DATA BASE:</t>
  </si>
  <si>
    <t>SINAPI:</t>
  </si>
  <si>
    <t>AGETOP:</t>
  </si>
  <si>
    <t>JUNHO/2013</t>
  </si>
  <si>
    <t>ITEM</t>
  </si>
  <si>
    <t>CÓDIGO</t>
  </si>
  <si>
    <t>DISCRIMINAÇÃO DOS SERVIÇOS</t>
  </si>
  <si>
    <t>UNID.</t>
  </si>
  <si>
    <t>QUANTIDADE</t>
  </si>
  <si>
    <t>PREÇO UNIT.</t>
  </si>
  <si>
    <t>PREÇO PARCIAL</t>
  </si>
  <si>
    <t>PAVIMENTAÇÃO OCIDENTAL PARK</t>
  </si>
  <si>
    <t>1.1</t>
  </si>
  <si>
    <t>78472 SINAPI</t>
  </si>
  <si>
    <t>Locação da obra com uso de equipamentos topográficos, inclusive topógrafo e nivelador</t>
  </si>
  <si>
    <t>m2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</si>
  <si>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</si>
  <si>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</si>
  <si>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</si>
  <si>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</si>
  <si>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</si>
  <si>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</si>
  <si>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</si>
  <si>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</si>
  <si>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</si>
  <si>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</si>
  <si>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</si>
  <si>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</si>
  <si>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</si>
  <si>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</si>
  <si>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</si>
  <si>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</si>
  <si>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</si>
  <si>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</si>
  <si>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</si>
  <si>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</si>
  <si>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</si>
  <si>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Remoção pav. Asfáltica (exceto transporte)</t>
  </si>
  <si>
    <t>Transporte de pavimento removido - DT = 6 km</t>
  </si>
  <si>
    <t>Desmatamento, limpeza e expurgo de jazida</t>
  </si>
  <si>
    <t>Acabamento e recomposição de jazida</t>
  </si>
  <si>
    <t>Regularização e compactação de sub-leito (pav.urb.)</t>
  </si>
  <si>
    <t>Escavação e carga de material de jazida com indenização (pav.urb.)</t>
  </si>
  <si>
    <t>Transporte de mat. de jazida (pav.urb.) - DT = 18 km</t>
  </si>
  <si>
    <t>Estabilização granulométrica sem mistura (pav.urb.)</t>
  </si>
  <si>
    <t>Imprimação (pav.urb.)</t>
  </si>
  <si>
    <t>Fornecimento de CM-30</t>
  </si>
  <si>
    <t>Tratamento superficial duplo BC (pav.urb.)</t>
  </si>
  <si>
    <t>Fornecimento de emulsão RR-2C</t>
  </si>
  <si>
    <t>Microrevestimento a frio - 1,0 cm s/comp (BC) (pav.urb.)</t>
  </si>
  <si>
    <t>Fornecimento de emulsão RC-1C/E</t>
  </si>
  <si>
    <t>Transporte local de agregados (pav.urb.) - DT = 3 km</t>
  </si>
  <si>
    <t>Transporte local de material betuminoso (pav.urb.) - DT = 3 km</t>
  </si>
  <si>
    <t>Transporte comercial de agregados - DT = 70 km</t>
  </si>
  <si>
    <t>Tapa buraco (exceto forn. e transp. mat.)</t>
  </si>
  <si>
    <t>Pré-misturado a frio - PMF (BP) (pav.urb.)</t>
  </si>
  <si>
    <t>Transporte local de massa asfáltica (pav.urb.) - DT = 3 km</t>
  </si>
  <si>
    <t>MEIO FIO COM SARJETA MFC04 AC/BC</t>
  </si>
  <si>
    <t>DESOBSTRUÇÃO DE BUEIROS</t>
  </si>
  <si>
    <t>3.1</t>
  </si>
  <si>
    <t>3.2</t>
  </si>
  <si>
    <t>4.1</t>
  </si>
  <si>
    <t>4.2</t>
  </si>
  <si>
    <t>Sinalização horizontal com resina acrílica</t>
  </si>
  <si>
    <t>Sinalização vertical c/pintura eletrostática semi-refletiva</t>
  </si>
  <si>
    <t>m3</t>
  </si>
  <si>
    <t>m3xkm</t>
  </si>
  <si>
    <t>Txkm</t>
  </si>
  <si>
    <t>TOTAL SERVIÇOS PRELIMINARES</t>
  </si>
  <si>
    <t>TOTAL PAVIMENTAÇÃO</t>
  </si>
  <si>
    <t>TOTAL DRENAGEM</t>
  </si>
  <si>
    <t>TOTAL OBRAS COMPLEMENTARES</t>
  </si>
  <si>
    <t>TOTAL PAVIMENTAÇÃO OCIDENTAL PARK</t>
  </si>
  <si>
    <t>PAVIMENTAÇÃO NOVA FRIBURGO</t>
  </si>
  <si>
    <t>TOTAL PAVIMENTAÇÃO NOVA FRIBURGO</t>
  </si>
  <si>
    <t>PAVIMENTAÇÃO DOM BOSCO</t>
  </si>
  <si>
    <t>TOTAL PAVIMENTAÇÃO DOM BOSCO</t>
  </si>
  <si>
    <t>PAVIMENTAÇÃO SÃO MATHEUS</t>
  </si>
  <si>
    <t>TOTAL PAVIMENTAÇÃO SÃO MATHEUS</t>
  </si>
  <si>
    <t>TOTAL PAVIMENTAÇÃO NÁPOLIS A e B</t>
  </si>
  <si>
    <t>PAVIMENTAÇÃO PARQUE NÁPOLIS A e B</t>
  </si>
  <si>
    <t>PAVIMENTAÇÃO CENTRO</t>
  </si>
  <si>
    <t>TOTAL PAVIMENTAÇÃO CENTRO</t>
  </si>
  <si>
    <t>CANTEIRO, MOBILIZAÇÃO E DESMOBILIZAÇÃO</t>
  </si>
  <si>
    <t>Mobilização e desmobilização de equipamentos (terraplenagem/pavimentação) - 2%</t>
  </si>
  <si>
    <t>Instalação de canteiro de obras (terraplenagem/pavimentação) - 1%</t>
  </si>
  <si>
    <t>vb</t>
  </si>
  <si>
    <t>TOTAL CANTEIRO, MOBILIZAÇÃO E DESMOBILIZAÇÃO</t>
  </si>
  <si>
    <t xml:space="preserve">TOTAL GERAL DA OBRA:    </t>
  </si>
  <si>
    <t>OBRA DE PAVIMENTAÇÃO ASFÁLTICA EM TSD E MICROREVESTIMENTO</t>
  </si>
  <si>
    <t>CIDADE OCIDENTAL</t>
  </si>
  <si>
    <t>Obra:</t>
  </si>
  <si>
    <t>Local:</t>
  </si>
  <si>
    <t>Extensão:</t>
  </si>
  <si>
    <t>Etapas</t>
  </si>
  <si>
    <t>Discriminação das Etapas</t>
  </si>
  <si>
    <t>PAVIMENTAÇÃO NÁPOLIS A e B</t>
  </si>
  <si>
    <t>Percentual no Período</t>
  </si>
  <si>
    <t>Percentual Acumulado</t>
  </si>
  <si>
    <t>Custo no Período</t>
  </si>
  <si>
    <t>Valor Acumulado</t>
  </si>
  <si>
    <t>% das Etapas</t>
  </si>
  <si>
    <t>Valor das Etapas c/ BDI</t>
  </si>
  <si>
    <t>MESES</t>
  </si>
  <si>
    <t>10% DA MASSA</t>
  </si>
  <si>
    <t>1,4KG/M2</t>
  </si>
  <si>
    <t>Fornecimento de emulsão RC-1C</t>
  </si>
  <si>
    <t>Nikaelle Moraes de Oliveira</t>
  </si>
  <si>
    <t>CREA 17.009/D-GO</t>
  </si>
  <si>
    <t>Fornecimento de emulsão RM-1C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</si>
</sst>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.5"/>
      <name val="Segoe UI"/>
      <family val="2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sz val="12"/>
      <name val="Arial"/>
      <family val="2"/>
    </font>
    <font>
      <sz val="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Alignment="1">
      <alignment vertical="center"/>
    </xf>
    <xf numFmtId="0" fontId="13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0" fillId="0" borderId="22" xfId="0" applyFont="1" applyBorder="1"/>
    <xf numFmtId="0" fontId="0" fillId="0" borderId="5" xfId="0" applyFont="1" applyBorder="1"/>
    <xf numFmtId="0" fontId="0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8" fillId="0" borderId="22" xfId="0" applyFont="1" applyBorder="1" applyAlignment="1">
      <alignment vertical="center"/>
    </xf>
    <xf numFmtId="0" fontId="18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4" fontId="11" fillId="0" borderId="23" xfId="0" applyNumberFormat="1" applyFont="1" applyBorder="1" applyAlignment="1">
      <alignment horizontal="center" vertical="center"/>
    </xf>
    <xf numFmtId="4" fontId="20" fillId="0" borderId="23" xfId="0" applyNumberFormat="1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4" fontId="11" fillId="0" borderId="2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4" fontId="11" fillId="0" borderId="0" xfId="0" applyNumberFormat="1" applyFont="1" applyBorder="1" applyAlignment="1">
      <alignment horizontal="center" vertical="center"/>
    </xf>
    <xf numFmtId="4" fontId="20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4" fontId="21" fillId="0" borderId="23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6" fillId="0" borderId="22" xfId="0" applyFont="1" applyBorder="1" applyAlignment="1">
      <alignment vertical="center"/>
    </xf>
    <xf numFmtId="0" fontId="2" fillId="0" borderId="0" xfId="0" applyFont="1"/>
    <xf numFmtId="10" fontId="11" fillId="0" borderId="23" xfId="2" applyNumberFormat="1" applyFont="1" applyBorder="1" applyAlignment="1">
      <alignment horizontal="center" vertical="center"/>
    </xf>
    <xf numFmtId="4" fontId="21" fillId="0" borderId="4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0" fontId="19" fillId="0" borderId="23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2" fillId="0" borderId="25" xfId="0" applyFont="1" applyBorder="1" applyAlignment="1">
      <alignment horizontal="center"/>
    </xf>
    <xf numFmtId="44" fontId="0" fillId="0" borderId="22" xfId="1" applyFont="1" applyBorder="1" applyAlignment="1">
      <alignment horizontal="center"/>
    </xf>
    <xf numFmtId="9" fontId="0" fillId="0" borderId="5" xfId="2" applyFont="1" applyBorder="1" applyAlignment="1">
      <alignment horizontal="center"/>
    </xf>
    <xf numFmtId="44" fontId="0" fillId="0" borderId="23" xfId="1" applyFont="1" applyBorder="1" applyAlignment="1">
      <alignment horizontal="center"/>
    </xf>
    <xf numFmtId="0" fontId="0" fillId="0" borderId="23" xfId="0" applyBorder="1" applyAlignment="1">
      <alignment horizontal="left" vertical="center" wrapText="1"/>
    </xf>
    <xf numFmtId="44" fontId="0" fillId="0" borderId="23" xfId="0" applyNumberFormat="1" applyBorder="1" applyAlignment="1">
      <alignment horizontal="center"/>
    </xf>
    <xf numFmtId="0" fontId="0" fillId="0" borderId="16" xfId="0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4" fontId="2" fillId="0" borderId="4" xfId="1" applyFont="1" applyBorder="1" applyAlignment="1">
      <alignment horizontal="center"/>
    </xf>
    <xf numFmtId="10" fontId="2" fillId="0" borderId="4" xfId="2" applyNumberFormat="1" applyFont="1" applyBorder="1" applyAlignment="1">
      <alignment horizontal="center"/>
    </xf>
    <xf numFmtId="9" fontId="2" fillId="0" borderId="4" xfId="2" applyFont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/>
    </xf>
    <xf numFmtId="44" fontId="2" fillId="0" borderId="4" xfId="0" applyNumberFormat="1" applyFont="1" applyBorder="1" applyAlignment="1">
      <alignment horizontal="center"/>
    </xf>
    <xf numFmtId="0" fontId="2" fillId="0" borderId="13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44" fontId="0" fillId="0" borderId="33" xfId="1" applyFont="1" applyBorder="1" applyAlignment="1">
      <alignment horizontal="center"/>
    </xf>
    <xf numFmtId="9" fontId="0" fillId="0" borderId="9" xfId="2" applyFont="1" applyBorder="1" applyAlignment="1">
      <alignment horizontal="center"/>
    </xf>
    <xf numFmtId="0" fontId="0" fillId="0" borderId="34" xfId="0" applyBorder="1" applyAlignment="1">
      <alignment horizontal="center"/>
    </xf>
    <xf numFmtId="44" fontId="0" fillId="0" borderId="35" xfId="0" applyNumberFormat="1" applyBorder="1" applyAlignment="1">
      <alignment horizontal="center"/>
    </xf>
    <xf numFmtId="0" fontId="2" fillId="0" borderId="36" xfId="0" applyFont="1" applyBorder="1" applyAlignment="1">
      <alignment horizontal="center"/>
    </xf>
    <xf numFmtId="10" fontId="2" fillId="0" borderId="10" xfId="2" applyNumberFormat="1" applyFont="1" applyBorder="1" applyAlignment="1">
      <alignment horizontal="center"/>
    </xf>
    <xf numFmtId="10" fontId="2" fillId="0" borderId="10" xfId="0" applyNumberFormat="1" applyFont="1" applyBorder="1" applyAlignment="1">
      <alignment horizontal="center"/>
    </xf>
    <xf numFmtId="44" fontId="2" fillId="0" borderId="10" xfId="0" applyNumberFormat="1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44" fontId="2" fillId="0" borderId="6" xfId="1" applyFont="1" applyBorder="1" applyAlignment="1">
      <alignment horizontal="center"/>
    </xf>
    <xf numFmtId="44" fontId="2" fillId="0" borderId="6" xfId="0" applyNumberFormat="1" applyFont="1" applyBorder="1" applyAlignment="1">
      <alignment horizontal="center"/>
    </xf>
    <xf numFmtId="44" fontId="2" fillId="0" borderId="7" xfId="0" applyNumberFormat="1" applyFont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44" fontId="0" fillId="2" borderId="22" xfId="1" applyFont="1" applyFill="1" applyBorder="1" applyAlignment="1">
      <alignment horizontal="center"/>
    </xf>
    <xf numFmtId="44" fontId="0" fillId="2" borderId="33" xfId="1" applyFont="1" applyFill="1" applyBorder="1" applyAlignment="1">
      <alignment horizontal="center"/>
    </xf>
    <xf numFmtId="9" fontId="0" fillId="2" borderId="5" xfId="2" applyFont="1" applyFill="1" applyBorder="1" applyAlignment="1">
      <alignment horizontal="center"/>
    </xf>
    <xf numFmtId="9" fontId="0" fillId="2" borderId="9" xfId="2" applyFont="1" applyFill="1" applyBorder="1" applyAlignment="1">
      <alignment horizontal="center"/>
    </xf>
    <xf numFmtId="0" fontId="0" fillId="0" borderId="0" xfId="0" applyBorder="1" applyAlignment="1"/>
    <xf numFmtId="0" fontId="24" fillId="0" borderId="0" xfId="0" applyFont="1" applyBorder="1" applyAlignment="1">
      <alignment vertical="top"/>
    </xf>
    <xf numFmtId="0" fontId="24" fillId="0" borderId="0" xfId="0" applyFont="1" applyAlignment="1">
      <alignment vertical="top"/>
    </xf>
    <xf numFmtId="0" fontId="10" fillId="0" borderId="0" xfId="0" applyFont="1"/>
    <xf numFmtId="0" fontId="4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vertical="center"/>
    </xf>
    <xf numFmtId="49" fontId="10" fillId="0" borderId="0" xfId="0" applyNumberFormat="1" applyFont="1" applyBorder="1" applyAlignment="1">
      <alignment horizontal="left" vertical="center"/>
    </xf>
    <xf numFmtId="0" fontId="15" fillId="2" borderId="4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22" fillId="0" borderId="18" xfId="0" applyFont="1" applyBorder="1" applyAlignment="1">
      <alignment horizontal="right" vertical="center"/>
    </xf>
    <xf numFmtId="0" fontId="11" fillId="0" borderId="1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24" fillId="0" borderId="14" xfId="0" applyFont="1" applyBorder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11" fillId="0" borderId="23" xfId="0" applyFont="1" applyBorder="1" applyAlignment="1">
      <alignment horizontal="center" vertical="center"/>
    </xf>
    <xf numFmtId="0" fontId="2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22" fillId="0" borderId="23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left" vertical="center"/>
    </xf>
    <xf numFmtId="10" fontId="2" fillId="2" borderId="22" xfId="2" applyNumberFormat="1" applyFont="1" applyFill="1" applyBorder="1" applyAlignment="1">
      <alignment horizontal="center" vertical="center"/>
    </xf>
    <xf numFmtId="10" fontId="2" fillId="2" borderId="5" xfId="2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0" fontId="2" fillId="0" borderId="22" xfId="2" applyNumberFormat="1" applyFont="1" applyBorder="1" applyAlignment="1">
      <alignment horizontal="center" vertical="center"/>
    </xf>
    <xf numFmtId="10" fontId="2" fillId="0" borderId="5" xfId="2" applyNumberFormat="1" applyFont="1" applyBorder="1" applyAlignment="1">
      <alignment horizontal="center" vertical="center"/>
    </xf>
    <xf numFmtId="4" fontId="2" fillId="0" borderId="2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4" fontId="0" fillId="0" borderId="0" xfId="0" applyNumberFormat="1"/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1</xdr:row>
      <xdr:rowOff>53007</xdr:rowOff>
    </xdr:from>
    <xdr:to>
      <xdr:col>9</xdr:col>
      <xdr:colOff>995155</xdr:colOff>
      <xdr:row>2</xdr:row>
      <xdr:rowOff>561975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29625" y="491157"/>
          <a:ext cx="804655" cy="661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1</xdr:row>
      <xdr:rowOff>53007</xdr:rowOff>
    </xdr:from>
    <xdr:to>
      <xdr:col>12</xdr:col>
      <xdr:colOff>995155</xdr:colOff>
      <xdr:row>2</xdr:row>
      <xdr:rowOff>561975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58075" y="300657"/>
          <a:ext cx="804655" cy="661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258"/>
  <sheetViews>
    <sheetView tabSelected="1" view="pageBreakPreview" topLeftCell="E241" zoomScale="130" zoomScaleNormal="130" zoomScaleSheetLayoutView="130" workbookViewId="0">
      <selection activeCell="L254" sqref="L254"/>
    </sheetView>
  </sheetViews>
  <sheetFormatPr defaultRowHeight="15"/>
  <cols>
    <col min="1" max="1" width="2.5703125" customWidth="1"/>
    <col min="2" max="2" width="6.28515625" customWidth="1"/>
    <col min="3" max="3" width="11.140625" style="1" customWidth="1"/>
    <col min="4" max="4" width="16.7109375" style="1" bestFit="1" customWidth="1"/>
    <col min="5" max="5" width="19.5703125" style="1" customWidth="1"/>
    <col min="6" max="6" width="17.85546875" style="1" customWidth="1"/>
    <col min="7" max="7" width="7.42578125" style="1" customWidth="1"/>
    <col min="8" max="8" width="13.140625" style="1" customWidth="1"/>
    <col min="9" max="9" width="14.28515625" style="1" customWidth="1"/>
    <col min="10" max="10" width="16" customWidth="1"/>
    <col min="11" max="11" width="10.28515625" bestFit="1" customWidth="1"/>
    <col min="12" max="12" width="15.140625" customWidth="1"/>
  </cols>
  <sheetData>
    <row r="1" spans="2:10" ht="19.5" customHeight="1">
      <c r="B1" s="113" t="s">
        <v>16</v>
      </c>
      <c r="C1" s="114"/>
      <c r="D1" s="114"/>
      <c r="E1" s="114"/>
      <c r="F1" s="114"/>
      <c r="G1" s="114"/>
      <c r="H1" s="114"/>
      <c r="I1" s="114"/>
      <c r="J1" s="115"/>
    </row>
    <row r="2" spans="2:10" ht="12" customHeight="1">
      <c r="B2" s="130" t="s">
        <v>17</v>
      </c>
      <c r="C2" s="131"/>
      <c r="D2" s="131"/>
      <c r="E2" s="131"/>
      <c r="F2" s="132"/>
      <c r="G2" s="117" t="s">
        <v>19</v>
      </c>
      <c r="H2" s="118"/>
      <c r="I2" s="119"/>
      <c r="J2" s="11"/>
    </row>
    <row r="3" spans="2:10" ht="49.5" customHeight="1">
      <c r="B3" s="123" t="s">
        <v>18</v>
      </c>
      <c r="C3" s="124"/>
      <c r="D3" s="124"/>
      <c r="E3" s="124"/>
      <c r="F3" s="125"/>
      <c r="G3" s="120" t="s">
        <v>20</v>
      </c>
      <c r="H3" s="121"/>
      <c r="I3" s="122"/>
      <c r="J3" s="12"/>
    </row>
    <row r="4" spans="2:10" s="2" customFormat="1" ht="14.1" customHeight="1">
      <c r="B4" s="123"/>
      <c r="C4" s="124"/>
      <c r="D4" s="124"/>
      <c r="E4" s="124"/>
      <c r="F4" s="125"/>
      <c r="G4" s="129" t="s">
        <v>21</v>
      </c>
      <c r="H4" s="9" t="s">
        <v>22</v>
      </c>
      <c r="I4" s="133" t="s">
        <v>24</v>
      </c>
      <c r="J4" s="133"/>
    </row>
    <row r="5" spans="2:10" s="2" customFormat="1" ht="14.1" customHeight="1">
      <c r="B5" s="126"/>
      <c r="C5" s="127"/>
      <c r="D5" s="127"/>
      <c r="E5" s="127"/>
      <c r="F5" s="128"/>
      <c r="G5" s="129"/>
      <c r="H5" s="10" t="s">
        <v>23</v>
      </c>
      <c r="I5" s="133" t="s">
        <v>24</v>
      </c>
      <c r="J5" s="133"/>
    </row>
    <row r="6" spans="2:10" s="2" customFormat="1" ht="16.5" customHeight="1">
      <c r="B6" s="13" t="s">
        <v>25</v>
      </c>
      <c r="C6" s="14" t="s">
        <v>26</v>
      </c>
      <c r="D6" s="116" t="s">
        <v>27</v>
      </c>
      <c r="E6" s="116"/>
      <c r="F6" s="116"/>
      <c r="G6" s="13" t="s">
        <v>28</v>
      </c>
      <c r="H6" s="13" t="s">
        <v>29</v>
      </c>
      <c r="I6" s="13" t="s">
        <v>30</v>
      </c>
      <c r="J6" s="13" t="s">
        <v>31</v>
      </c>
    </row>
    <row r="7" spans="2:10" s="2" customFormat="1" ht="20.100000000000001" customHeight="1">
      <c r="B7" s="95" t="s">
        <v>32</v>
      </c>
      <c r="C7" s="95"/>
      <c r="D7" s="95"/>
      <c r="E7" s="95"/>
      <c r="F7" s="95"/>
      <c r="G7" s="95"/>
      <c r="H7" s="95"/>
      <c r="I7" s="95"/>
      <c r="J7" s="95"/>
    </row>
    <row r="8" spans="2:10" s="2" customFormat="1" ht="9.9499999999999993" customHeight="1">
      <c r="B8" s="35">
        <v>1</v>
      </c>
      <c r="C8" s="17"/>
      <c r="D8" s="109" t="s">
        <v>14</v>
      </c>
      <c r="E8" s="109"/>
      <c r="F8" s="109"/>
      <c r="G8" s="18"/>
      <c r="H8" s="18"/>
      <c r="I8" s="19"/>
      <c r="J8" s="18"/>
    </row>
    <row r="9" spans="2:10" s="8" customFormat="1" ht="9.9499999999999993" customHeight="1">
      <c r="B9" s="20" t="s">
        <v>33</v>
      </c>
      <c r="C9" s="21" t="s">
        <v>34</v>
      </c>
      <c r="D9" s="110" t="s">
        <v>35</v>
      </c>
      <c r="E9" s="110"/>
      <c r="F9" s="110"/>
      <c r="G9" s="21" t="s">
        <v>36</v>
      </c>
      <c r="H9" s="28">
        <v>53542.52</v>
      </c>
      <c r="I9" s="22">
        <v>0.45</v>
      </c>
      <c r="J9" s="23">
        <f>H9*I9</f>
        <v>24094.133999999998</v>
      </c>
    </row>
    <row r="10" spans="2:10" s="8" customFormat="1" ht="9.9499999999999993" customHeight="1">
      <c r="B10" s="24"/>
      <c r="C10" s="25"/>
      <c r="D10" s="96" t="s">
        <v>89</v>
      </c>
      <c r="E10" s="97"/>
      <c r="F10" s="98"/>
      <c r="G10" s="25"/>
      <c r="H10" s="49"/>
      <c r="I10" s="25"/>
      <c r="J10" s="36">
        <f>J9</f>
        <v>24094.133999999998</v>
      </c>
    </row>
    <row r="11" spans="2:10" s="8" customFormat="1" ht="9.9499999999999993" customHeight="1">
      <c r="B11" s="24"/>
      <c r="C11" s="25"/>
      <c r="D11" s="112"/>
      <c r="E11" s="112"/>
      <c r="F11" s="112"/>
      <c r="G11" s="34"/>
      <c r="H11" s="49"/>
      <c r="I11" s="25"/>
      <c r="J11" s="24"/>
    </row>
    <row r="12" spans="2:10" s="8" customFormat="1" ht="9.9499999999999993" customHeight="1">
      <c r="B12" s="26">
        <v>2</v>
      </c>
      <c r="C12" s="27"/>
      <c r="D12" s="111" t="s">
        <v>9</v>
      </c>
      <c r="E12" s="111"/>
      <c r="F12" s="111"/>
      <c r="H12" s="49"/>
      <c r="I12" s="25"/>
      <c r="J12" s="24"/>
    </row>
    <row r="13" spans="2:10" s="15" customFormat="1" ht="9.9499999999999993" customHeight="1">
      <c r="B13" s="20" t="s">
        <v>37</v>
      </c>
      <c r="C13" s="21">
        <v>40425</v>
      </c>
      <c r="D13" s="110" t="s">
        <v>58</v>
      </c>
      <c r="E13" s="110"/>
      <c r="F13" s="110"/>
      <c r="G13" s="21" t="s">
        <v>86</v>
      </c>
      <c r="H13" s="28">
        <f>H21*0.2</f>
        <v>8553.4699999999993</v>
      </c>
      <c r="I13" s="22">
        <v>5.9</v>
      </c>
      <c r="J13" s="23">
        <f t="shared" ref="J13:J33" si="0">H13*I13</f>
        <v>50465.472999999998</v>
      </c>
    </row>
    <row r="14" spans="2:10" s="15" customFormat="1" ht="9.9499999999999993" customHeight="1">
      <c r="B14" s="20" t="s">
        <v>38</v>
      </c>
      <c r="C14" s="21"/>
      <c r="D14" s="110" t="s">
        <v>59</v>
      </c>
      <c r="E14" s="110"/>
      <c r="F14" s="110"/>
      <c r="G14" s="21" t="s">
        <v>87</v>
      </c>
      <c r="H14" s="28">
        <f>H21*0.2*6</f>
        <v>51320.819999999992</v>
      </c>
      <c r="I14" s="22">
        <v>1.57</v>
      </c>
      <c r="J14" s="23">
        <f t="shared" si="0"/>
        <v>80573.687399999995</v>
      </c>
    </row>
    <row r="15" spans="2:10" s="15" customFormat="1" ht="9.9499999999999993" customHeight="1">
      <c r="B15" s="20" t="s">
        <v>39</v>
      </c>
      <c r="C15" s="21"/>
      <c r="D15" s="110" t="s">
        <v>60</v>
      </c>
      <c r="E15" s="110"/>
      <c r="F15" s="110"/>
      <c r="G15" s="21" t="s">
        <v>36</v>
      </c>
      <c r="H15" s="28">
        <f>H13/0.6</f>
        <v>14255.783333333333</v>
      </c>
      <c r="I15" s="22">
        <v>0.35</v>
      </c>
      <c r="J15" s="23">
        <f t="shared" si="0"/>
        <v>4989.5241666666661</v>
      </c>
    </row>
    <row r="16" spans="2:10" s="15" customFormat="1" ht="9.9499999999999993" customHeight="1">
      <c r="B16" s="20" t="s">
        <v>40</v>
      </c>
      <c r="C16" s="21"/>
      <c r="D16" s="110" t="s">
        <v>61</v>
      </c>
      <c r="E16" s="110"/>
      <c r="F16" s="110"/>
      <c r="G16" s="21" t="s">
        <v>36</v>
      </c>
      <c r="H16" s="28">
        <f>H15</f>
        <v>14255.783333333333</v>
      </c>
      <c r="I16" s="22">
        <v>0.32</v>
      </c>
      <c r="J16" s="23">
        <f t="shared" si="0"/>
        <v>4561.8506666666663</v>
      </c>
    </row>
    <row r="17" spans="2:11" s="15" customFormat="1" ht="9.9499999999999993" customHeight="1">
      <c r="B17" s="20" t="s">
        <v>41</v>
      </c>
      <c r="C17" s="21"/>
      <c r="D17" s="110" t="s">
        <v>62</v>
      </c>
      <c r="E17" s="110"/>
      <c r="F17" s="110"/>
      <c r="G17" s="21" t="s">
        <v>36</v>
      </c>
      <c r="H17" s="28">
        <f>H9</f>
        <v>53542.52</v>
      </c>
      <c r="I17" s="22">
        <v>1.99</v>
      </c>
      <c r="J17" s="23">
        <f t="shared" si="0"/>
        <v>106549.6148</v>
      </c>
    </row>
    <row r="18" spans="2:11" s="15" customFormat="1" ht="9.9499999999999993" customHeight="1">
      <c r="B18" s="20" t="s">
        <v>42</v>
      </c>
      <c r="C18" s="21"/>
      <c r="D18" s="110" t="s">
        <v>63</v>
      </c>
      <c r="E18" s="110"/>
      <c r="F18" s="110"/>
      <c r="G18" s="21" t="s">
        <v>86</v>
      </c>
      <c r="H18" s="28">
        <f>H17*0.2</f>
        <v>10708.504000000001</v>
      </c>
      <c r="I18" s="22">
        <v>9.19</v>
      </c>
      <c r="J18" s="23">
        <f t="shared" si="0"/>
        <v>98411.151760000008</v>
      </c>
    </row>
    <row r="19" spans="2:11" s="15" customFormat="1" ht="9.9499999999999993" customHeight="1">
      <c r="B19" s="20" t="s">
        <v>43</v>
      </c>
      <c r="C19" s="21"/>
      <c r="D19" s="110" t="s">
        <v>64</v>
      </c>
      <c r="E19" s="110"/>
      <c r="F19" s="110"/>
      <c r="G19" s="21" t="s">
        <v>87</v>
      </c>
      <c r="H19" s="28">
        <f>H18*18</f>
        <v>192753.07200000001</v>
      </c>
      <c r="I19" s="22">
        <v>1.53</v>
      </c>
      <c r="J19" s="23">
        <f t="shared" si="0"/>
        <v>294912.20016000001</v>
      </c>
    </row>
    <row r="20" spans="2:11" s="15" customFormat="1" ht="9.9499999999999993" customHeight="1">
      <c r="B20" s="20" t="s">
        <v>44</v>
      </c>
      <c r="C20" s="21"/>
      <c r="D20" s="110" t="s">
        <v>65</v>
      </c>
      <c r="E20" s="110"/>
      <c r="F20" s="110"/>
      <c r="G20" s="21" t="s">
        <v>86</v>
      </c>
      <c r="H20" s="28">
        <f>H13</f>
        <v>8553.4699999999993</v>
      </c>
      <c r="I20" s="22">
        <v>15.65</v>
      </c>
      <c r="J20" s="23">
        <f t="shared" si="0"/>
        <v>133861.80549999999</v>
      </c>
    </row>
    <row r="21" spans="2:11" s="15" customFormat="1" ht="9.9499999999999993" customHeight="1">
      <c r="B21" s="20" t="s">
        <v>45</v>
      </c>
      <c r="C21" s="21"/>
      <c r="D21" s="110" t="s">
        <v>66</v>
      </c>
      <c r="E21" s="110"/>
      <c r="F21" s="110"/>
      <c r="G21" s="21" t="s">
        <v>36</v>
      </c>
      <c r="H21" s="28">
        <v>42767.35</v>
      </c>
      <c r="I21" s="22">
        <v>0.3</v>
      </c>
      <c r="J21" s="23">
        <f t="shared" si="0"/>
        <v>12830.205</v>
      </c>
    </row>
    <row r="22" spans="2:11" s="15" customFormat="1" ht="9.9499999999999993" customHeight="1">
      <c r="B22" s="20" t="s">
        <v>46</v>
      </c>
      <c r="C22" s="21"/>
      <c r="D22" s="110" t="s">
        <v>67</v>
      </c>
      <c r="E22" s="110"/>
      <c r="F22" s="110"/>
      <c r="G22" s="21" t="s">
        <v>15</v>
      </c>
      <c r="H22" s="28">
        <f>H21/1000*1.2</f>
        <v>51.320819999999998</v>
      </c>
      <c r="I22" s="22">
        <v>2496</v>
      </c>
      <c r="J22" s="23">
        <f t="shared" si="0"/>
        <v>128096.76672</v>
      </c>
    </row>
    <row r="23" spans="2:11" s="15" customFormat="1" ht="9.9499999999999993" customHeight="1">
      <c r="B23" s="20" t="s">
        <v>47</v>
      </c>
      <c r="C23" s="21"/>
      <c r="D23" s="110" t="s">
        <v>68</v>
      </c>
      <c r="E23" s="110"/>
      <c r="F23" s="110"/>
      <c r="G23" s="21" t="s">
        <v>36</v>
      </c>
      <c r="H23" s="28">
        <f>H21</f>
        <v>42767.35</v>
      </c>
      <c r="I23" s="22">
        <v>4.26</v>
      </c>
      <c r="J23" s="23">
        <f t="shared" si="0"/>
        <v>182188.91099999999</v>
      </c>
    </row>
    <row r="24" spans="2:11" s="15" customFormat="1" ht="9.9499999999999993" customHeight="1">
      <c r="B24" s="20" t="s">
        <v>48</v>
      </c>
      <c r="C24" s="21"/>
      <c r="D24" s="110" t="s">
        <v>69</v>
      </c>
      <c r="E24" s="110"/>
      <c r="F24" s="110"/>
      <c r="G24" s="21" t="s">
        <v>15</v>
      </c>
      <c r="H24" s="22">
        <f>H21/1000*2.8</f>
        <v>119.74857999999999</v>
      </c>
      <c r="I24" s="22">
        <v>1320</v>
      </c>
      <c r="J24" s="23">
        <f t="shared" si="0"/>
        <v>158068.1256</v>
      </c>
    </row>
    <row r="25" spans="2:11" s="15" customFormat="1" ht="9.9499999999999993" customHeight="1">
      <c r="B25" s="20" t="s">
        <v>49</v>
      </c>
      <c r="C25" s="21"/>
      <c r="D25" s="110" t="s">
        <v>70</v>
      </c>
      <c r="E25" s="110"/>
      <c r="F25" s="110"/>
      <c r="G25" s="21" t="s">
        <v>36</v>
      </c>
      <c r="H25" s="28">
        <f>H9</f>
        <v>53542.52</v>
      </c>
      <c r="I25" s="22">
        <v>3.94</v>
      </c>
      <c r="J25" s="23">
        <f t="shared" si="0"/>
        <v>210957.52879999997</v>
      </c>
    </row>
    <row r="26" spans="2:11" s="15" customFormat="1" ht="9.9499999999999993" customHeight="1">
      <c r="B26" s="20" t="s">
        <v>50</v>
      </c>
      <c r="C26" s="21"/>
      <c r="D26" s="110" t="s">
        <v>71</v>
      </c>
      <c r="E26" s="110"/>
      <c r="F26" s="110"/>
      <c r="G26" s="21" t="s">
        <v>15</v>
      </c>
      <c r="H26" s="22">
        <f>H25/1000*1.4</f>
        <v>74.959527999999992</v>
      </c>
      <c r="I26" s="22">
        <v>1650</v>
      </c>
      <c r="J26" s="23">
        <f t="shared" si="0"/>
        <v>123683.22119999999</v>
      </c>
      <c r="K26" s="15" t="s">
        <v>125</v>
      </c>
    </row>
    <row r="27" spans="2:11" s="15" customFormat="1" ht="9.9499999999999993" customHeight="1">
      <c r="B27" s="20" t="s">
        <v>51</v>
      </c>
      <c r="C27" s="21"/>
      <c r="D27" s="110" t="s">
        <v>72</v>
      </c>
      <c r="E27" s="110"/>
      <c r="F27" s="110"/>
      <c r="G27" s="21" t="s">
        <v>87</v>
      </c>
      <c r="H27" s="22">
        <f>0.024*H23*3+0.01*H25*3</f>
        <v>4685.5248000000001</v>
      </c>
      <c r="I27" s="22">
        <v>1.81</v>
      </c>
      <c r="J27" s="23">
        <f t="shared" si="0"/>
        <v>8480.7998880000014</v>
      </c>
      <c r="K27" s="15" t="s">
        <v>126</v>
      </c>
    </row>
    <row r="28" spans="2:11" s="15" customFormat="1" ht="9.9499999999999993" customHeight="1">
      <c r="B28" s="20" t="s">
        <v>52</v>
      </c>
      <c r="C28" s="21"/>
      <c r="D28" s="110" t="s">
        <v>73</v>
      </c>
      <c r="E28" s="110"/>
      <c r="F28" s="110"/>
      <c r="G28" s="21" t="s">
        <v>88</v>
      </c>
      <c r="H28" s="22">
        <f>(H22+H24+H26+H32)*3</f>
        <v>850.09467614999971</v>
      </c>
      <c r="I28" s="22">
        <v>2.7</v>
      </c>
      <c r="J28" s="23">
        <f t="shared" si="0"/>
        <v>2295.2556256049993</v>
      </c>
    </row>
    <row r="29" spans="2:11" s="15" customFormat="1" ht="9.9499999999999993" customHeight="1">
      <c r="B29" s="20" t="s">
        <v>53</v>
      </c>
      <c r="C29" s="21"/>
      <c r="D29" s="110" t="s">
        <v>74</v>
      </c>
      <c r="E29" s="110"/>
      <c r="F29" s="110"/>
      <c r="G29" s="21" t="s">
        <v>87</v>
      </c>
      <c r="H29" s="22">
        <f>H27/3*70</f>
        <v>109328.912</v>
      </c>
      <c r="I29" s="22">
        <v>0.88</v>
      </c>
      <c r="J29" s="23">
        <f t="shared" si="0"/>
        <v>96209.442559999996</v>
      </c>
    </row>
    <row r="30" spans="2:11" s="15" customFormat="1" ht="9.9499999999999993" customHeight="1">
      <c r="B30" s="20" t="s">
        <v>54</v>
      </c>
      <c r="C30" s="21"/>
      <c r="D30" s="110" t="s">
        <v>75</v>
      </c>
      <c r="E30" s="110"/>
      <c r="F30" s="110"/>
      <c r="G30" s="21" t="s">
        <v>86</v>
      </c>
      <c r="H30" s="22">
        <f>(H25-H21)*0.1*0.15</f>
        <v>161.62754999999996</v>
      </c>
      <c r="I30" s="22">
        <v>198.05</v>
      </c>
      <c r="J30" s="23">
        <f t="shared" si="0"/>
        <v>32010.336277499995</v>
      </c>
    </row>
    <row r="31" spans="2:11" s="15" customFormat="1" ht="9.9499999999999993" customHeight="1">
      <c r="B31" s="20" t="s">
        <v>55</v>
      </c>
      <c r="C31" s="21"/>
      <c r="D31" s="110" t="s">
        <v>76</v>
      </c>
      <c r="E31" s="110"/>
      <c r="F31" s="110"/>
      <c r="G31" s="21" t="s">
        <v>86</v>
      </c>
      <c r="H31" s="22">
        <f>H30</f>
        <v>161.62754999999996</v>
      </c>
      <c r="I31" s="22">
        <v>141.91</v>
      </c>
      <c r="J31" s="23">
        <f t="shared" si="0"/>
        <v>22936.565620499994</v>
      </c>
    </row>
    <row r="32" spans="2:11" s="15" customFormat="1" ht="9.9499999999999993" customHeight="1">
      <c r="B32" s="20" t="s">
        <v>56</v>
      </c>
      <c r="C32" s="21"/>
      <c r="D32" s="110" t="s">
        <v>130</v>
      </c>
      <c r="E32" s="110"/>
      <c r="F32" s="110"/>
      <c r="G32" s="21" t="s">
        <v>15</v>
      </c>
      <c r="H32" s="28">
        <f>H31*2.2*0.105</f>
        <v>37.335964049999987</v>
      </c>
      <c r="I32" s="22">
        <v>1350</v>
      </c>
      <c r="J32" s="23">
        <f t="shared" si="0"/>
        <v>50403.551467499979</v>
      </c>
      <c r="K32" s="15">
        <v>1.4</v>
      </c>
    </row>
    <row r="33" spans="2:10" s="15" customFormat="1" ht="9.9499999999999993" customHeight="1">
      <c r="B33" s="20" t="s">
        <v>57</v>
      </c>
      <c r="C33" s="21"/>
      <c r="D33" s="110" t="s">
        <v>77</v>
      </c>
      <c r="E33" s="110"/>
      <c r="F33" s="110"/>
      <c r="G33" s="21" t="s">
        <v>88</v>
      </c>
      <c r="H33" s="22">
        <f>H31*2.2*3</f>
        <v>1066.7418299999997</v>
      </c>
      <c r="I33" s="22">
        <v>1.21</v>
      </c>
      <c r="J33" s="23">
        <f t="shared" si="0"/>
        <v>1290.7576142999997</v>
      </c>
    </row>
    <row r="34" spans="2:10" s="15" customFormat="1" ht="9.9499999999999993" customHeight="1">
      <c r="B34" s="20"/>
      <c r="C34" s="21"/>
      <c r="D34" s="96" t="s">
        <v>90</v>
      </c>
      <c r="E34" s="97"/>
      <c r="F34" s="98"/>
      <c r="G34" s="21"/>
      <c r="H34" s="22"/>
      <c r="I34" s="22"/>
      <c r="J34" s="36">
        <f>SUM(J13:J33)</f>
        <v>1803776.7748267376</v>
      </c>
    </row>
    <row r="35" spans="2:10" s="15" customFormat="1" ht="9.9499999999999993" customHeight="1">
      <c r="B35" s="20"/>
      <c r="C35" s="21"/>
      <c r="D35" s="99"/>
      <c r="E35" s="100"/>
      <c r="F35" s="101"/>
      <c r="G35" s="21"/>
      <c r="H35" s="22"/>
      <c r="I35" s="22"/>
      <c r="J35" s="23"/>
    </row>
    <row r="36" spans="2:10" s="15" customFormat="1" ht="9.9499999999999993" customHeight="1">
      <c r="B36" s="26">
        <v>3</v>
      </c>
      <c r="C36" s="27"/>
      <c r="D36" s="111" t="s">
        <v>10</v>
      </c>
      <c r="E36" s="111"/>
      <c r="F36" s="111"/>
      <c r="G36" s="21"/>
      <c r="H36" s="22"/>
      <c r="I36" s="22"/>
      <c r="J36" s="23"/>
    </row>
    <row r="37" spans="2:10" s="15" customFormat="1" ht="9.9499999999999993" customHeight="1">
      <c r="B37" s="20" t="s">
        <v>80</v>
      </c>
      <c r="C37" s="21"/>
      <c r="D37" s="110" t="s">
        <v>78</v>
      </c>
      <c r="E37" s="110"/>
      <c r="F37" s="110"/>
      <c r="G37" s="21" t="s">
        <v>11</v>
      </c>
      <c r="H37" s="28">
        <f>H9/7*2*0.15</f>
        <v>2294.6794285714282</v>
      </c>
      <c r="I37" s="22">
        <v>25.47</v>
      </c>
      <c r="J37" s="23">
        <f t="shared" ref="J37:J38" si="1">H37*I37</f>
        <v>58445.485045714275</v>
      </c>
    </row>
    <row r="38" spans="2:10" s="15" customFormat="1" ht="9.9499999999999993" customHeight="1">
      <c r="B38" s="20" t="s">
        <v>81</v>
      </c>
      <c r="C38" s="21"/>
      <c r="D38" s="110" t="s">
        <v>79</v>
      </c>
      <c r="E38" s="110"/>
      <c r="F38" s="110"/>
      <c r="G38" s="21" t="s">
        <v>86</v>
      </c>
      <c r="H38" s="28">
        <f>H9/7/100*0.5</f>
        <v>38.244657142857143</v>
      </c>
      <c r="I38" s="22">
        <v>41.13</v>
      </c>
      <c r="J38" s="23">
        <f t="shared" si="1"/>
        <v>1573.0027482857145</v>
      </c>
    </row>
    <row r="39" spans="2:10" s="15" customFormat="1" ht="9.9499999999999993" customHeight="1">
      <c r="B39" s="20"/>
      <c r="C39" s="21"/>
      <c r="D39" s="96" t="s">
        <v>91</v>
      </c>
      <c r="E39" s="97"/>
      <c r="F39" s="98"/>
      <c r="G39" s="21"/>
      <c r="H39" s="28"/>
      <c r="I39" s="22"/>
      <c r="J39" s="36">
        <f>SUM(J37:J38)</f>
        <v>60018.487793999986</v>
      </c>
    </row>
    <row r="40" spans="2:10" s="15" customFormat="1" ht="9.9499999999999993" customHeight="1">
      <c r="B40" s="20"/>
      <c r="C40" s="21"/>
      <c r="D40" s="99"/>
      <c r="E40" s="100"/>
      <c r="F40" s="101"/>
      <c r="G40" s="21"/>
      <c r="H40" s="28"/>
      <c r="I40" s="22"/>
      <c r="J40" s="23"/>
    </row>
    <row r="41" spans="2:10" s="15" customFormat="1" ht="9.9499999999999993" customHeight="1">
      <c r="B41" s="26">
        <v>4</v>
      </c>
      <c r="C41" s="27"/>
      <c r="D41" s="111" t="s">
        <v>12</v>
      </c>
      <c r="E41" s="111"/>
      <c r="F41" s="111"/>
      <c r="G41" s="21"/>
      <c r="H41" s="28"/>
      <c r="I41" s="22"/>
      <c r="J41" s="23"/>
    </row>
    <row r="42" spans="2:10" s="15" customFormat="1" ht="9.9499999999999993" customHeight="1">
      <c r="B42" s="20" t="s">
        <v>82</v>
      </c>
      <c r="C42" s="21"/>
      <c r="D42" s="110" t="s">
        <v>84</v>
      </c>
      <c r="E42" s="110"/>
      <c r="F42" s="110"/>
      <c r="G42" s="21" t="s">
        <v>36</v>
      </c>
      <c r="H42" s="28">
        <v>1606.28</v>
      </c>
      <c r="I42" s="22">
        <v>11.71</v>
      </c>
      <c r="J42" s="23">
        <f t="shared" ref="J42:J43" si="2">H42*I42</f>
        <v>18809.538800000002</v>
      </c>
    </row>
    <row r="43" spans="2:10" s="15" customFormat="1" ht="9.9499999999999993" customHeight="1">
      <c r="B43" s="20" t="s">
        <v>83</v>
      </c>
      <c r="C43" s="21"/>
      <c r="D43" s="110" t="s">
        <v>85</v>
      </c>
      <c r="E43" s="110"/>
      <c r="F43" s="110"/>
      <c r="G43" s="21" t="s">
        <v>36</v>
      </c>
      <c r="H43" s="28">
        <v>32.130000000000003</v>
      </c>
      <c r="I43" s="22">
        <v>370.79</v>
      </c>
      <c r="J43" s="23">
        <f t="shared" si="2"/>
        <v>11913.482700000002</v>
      </c>
    </row>
    <row r="44" spans="2:10" s="15" customFormat="1" ht="9.9499999999999993" customHeight="1">
      <c r="B44" s="20"/>
      <c r="C44" s="21"/>
      <c r="D44" s="96" t="s">
        <v>92</v>
      </c>
      <c r="E44" s="97"/>
      <c r="F44" s="98"/>
      <c r="G44" s="21"/>
      <c r="H44" s="22"/>
      <c r="I44" s="22"/>
      <c r="J44" s="36">
        <f>SUM(J42:J43)</f>
        <v>30723.021500000003</v>
      </c>
    </row>
    <row r="45" spans="2:10" s="15" customFormat="1" ht="9.9499999999999993" customHeight="1">
      <c r="B45" s="20"/>
      <c r="C45" s="21"/>
      <c r="D45" s="96" t="s">
        <v>93</v>
      </c>
      <c r="E45" s="97"/>
      <c r="F45" s="98"/>
      <c r="G45" s="21"/>
      <c r="H45" s="22"/>
      <c r="I45" s="22"/>
      <c r="J45" s="36">
        <f>J10+J34+J39+J44</f>
        <v>1918612.4181207377</v>
      </c>
    </row>
    <row r="46" spans="2:10" s="15" customFormat="1" ht="9.9499999999999993" customHeight="1">
      <c r="B46" s="20"/>
      <c r="C46" s="21"/>
      <c r="D46" s="110"/>
      <c r="E46" s="110"/>
      <c r="F46" s="110"/>
      <c r="G46" s="21"/>
      <c r="H46" s="22"/>
      <c r="I46" s="22"/>
      <c r="J46" s="23"/>
    </row>
    <row r="47" spans="2:10" s="15" customFormat="1" ht="20.100000000000001" customHeight="1">
      <c r="B47" s="95" t="s">
        <v>94</v>
      </c>
      <c r="C47" s="95"/>
      <c r="D47" s="95"/>
      <c r="E47" s="95"/>
      <c r="F47" s="95"/>
      <c r="G47" s="95"/>
      <c r="H47" s="95"/>
      <c r="I47" s="95"/>
      <c r="J47" s="95"/>
    </row>
    <row r="48" spans="2:10" s="15" customFormat="1" ht="9.9499999999999993" customHeight="1">
      <c r="B48" s="35">
        <v>1</v>
      </c>
      <c r="C48" s="17"/>
      <c r="D48" s="109" t="s">
        <v>14</v>
      </c>
      <c r="E48" s="109"/>
      <c r="F48" s="109"/>
      <c r="G48" s="18"/>
      <c r="H48" s="18"/>
      <c r="I48" s="19"/>
      <c r="J48" s="18"/>
    </row>
    <row r="49" spans="2:10" s="15" customFormat="1" ht="9.9499999999999993" customHeight="1">
      <c r="B49" s="20" t="s">
        <v>33</v>
      </c>
      <c r="C49" s="21" t="s">
        <v>34</v>
      </c>
      <c r="D49" s="110" t="s">
        <v>35</v>
      </c>
      <c r="E49" s="110"/>
      <c r="F49" s="110"/>
      <c r="G49" s="21" t="s">
        <v>36</v>
      </c>
      <c r="H49" s="28">
        <v>135480.38</v>
      </c>
      <c r="I49" s="22">
        <v>0.45</v>
      </c>
      <c r="J49" s="23">
        <f>H49*I49</f>
        <v>60966.171000000002</v>
      </c>
    </row>
    <row r="50" spans="2:10" s="15" customFormat="1" ht="9.9499999999999993" customHeight="1">
      <c r="B50" s="24"/>
      <c r="C50" s="25"/>
      <c r="D50" s="96" t="s">
        <v>89</v>
      </c>
      <c r="E50" s="97"/>
      <c r="F50" s="98"/>
      <c r="G50" s="25"/>
      <c r="H50" s="49"/>
      <c r="I50" s="25"/>
      <c r="J50" s="36">
        <f>J49</f>
        <v>60966.171000000002</v>
      </c>
    </row>
    <row r="51" spans="2:10" s="15" customFormat="1" ht="9.9499999999999993" customHeight="1">
      <c r="B51" s="24"/>
      <c r="C51" s="25"/>
      <c r="D51" s="112"/>
      <c r="E51" s="112"/>
      <c r="F51" s="112"/>
      <c r="G51" s="34"/>
      <c r="H51" s="49"/>
      <c r="I51" s="25"/>
      <c r="J51" s="24"/>
    </row>
    <row r="52" spans="2:10" s="15" customFormat="1" ht="9.9499999999999993" customHeight="1">
      <c r="B52" s="26">
        <v>2</v>
      </c>
      <c r="C52" s="27"/>
      <c r="D52" s="111" t="s">
        <v>9</v>
      </c>
      <c r="E52" s="111"/>
      <c r="F52" s="111"/>
      <c r="G52" s="8"/>
      <c r="H52" s="49"/>
      <c r="I52" s="25"/>
      <c r="J52" s="24"/>
    </row>
    <row r="53" spans="2:10" s="15" customFormat="1" ht="9.9499999999999993" customHeight="1">
      <c r="B53" s="20" t="s">
        <v>37</v>
      </c>
      <c r="C53" s="21">
        <v>40425</v>
      </c>
      <c r="D53" s="110" t="s">
        <v>58</v>
      </c>
      <c r="E53" s="110"/>
      <c r="F53" s="110"/>
      <c r="G53" s="21" t="s">
        <v>86</v>
      </c>
      <c r="H53" s="28">
        <f>H61*0.2</f>
        <v>13599.536</v>
      </c>
      <c r="I53" s="22">
        <v>5.9</v>
      </c>
      <c r="J53" s="23">
        <f t="shared" ref="J53:J73" si="3">H53*I53</f>
        <v>80237.262400000007</v>
      </c>
    </row>
    <row r="54" spans="2:10" s="15" customFormat="1" ht="9.9499999999999993" customHeight="1">
      <c r="B54" s="20" t="s">
        <v>38</v>
      </c>
      <c r="C54" s="21"/>
      <c r="D54" s="110" t="s">
        <v>59</v>
      </c>
      <c r="E54" s="110"/>
      <c r="F54" s="110"/>
      <c r="G54" s="21" t="s">
        <v>87</v>
      </c>
      <c r="H54" s="28">
        <f>H61*0.2*6</f>
        <v>81597.216</v>
      </c>
      <c r="I54" s="22">
        <v>1.57</v>
      </c>
      <c r="J54" s="23">
        <f t="shared" si="3"/>
        <v>128107.62912000001</v>
      </c>
    </row>
    <row r="55" spans="2:10" s="15" customFormat="1" ht="9.9499999999999993" customHeight="1">
      <c r="B55" s="20" t="s">
        <v>39</v>
      </c>
      <c r="C55" s="21"/>
      <c r="D55" s="110" t="s">
        <v>60</v>
      </c>
      <c r="E55" s="110"/>
      <c r="F55" s="110"/>
      <c r="G55" s="21" t="s">
        <v>36</v>
      </c>
      <c r="H55" s="28">
        <f>H53/0.6</f>
        <v>22665.893333333333</v>
      </c>
      <c r="I55" s="22">
        <v>0.35</v>
      </c>
      <c r="J55" s="23">
        <f t="shared" si="3"/>
        <v>7933.0626666666658</v>
      </c>
    </row>
    <row r="56" spans="2:10" s="15" customFormat="1" ht="9.9499999999999993" customHeight="1">
      <c r="B56" s="20" t="s">
        <v>40</v>
      </c>
      <c r="C56" s="21"/>
      <c r="D56" s="110" t="s">
        <v>61</v>
      </c>
      <c r="E56" s="110"/>
      <c r="F56" s="110"/>
      <c r="G56" s="21" t="s">
        <v>36</v>
      </c>
      <c r="H56" s="28">
        <f>H55</f>
        <v>22665.893333333333</v>
      </c>
      <c r="I56" s="22">
        <v>0.32</v>
      </c>
      <c r="J56" s="23">
        <f t="shared" si="3"/>
        <v>7253.0858666666672</v>
      </c>
    </row>
    <row r="57" spans="2:10" s="15" customFormat="1" ht="9.9499999999999993" customHeight="1">
      <c r="B57" s="20" t="s">
        <v>41</v>
      </c>
      <c r="C57" s="21"/>
      <c r="D57" s="110" t="s">
        <v>62</v>
      </c>
      <c r="E57" s="110"/>
      <c r="F57" s="110"/>
      <c r="G57" s="21" t="s">
        <v>36</v>
      </c>
      <c r="H57" s="28">
        <f>H49</f>
        <v>135480.38</v>
      </c>
      <c r="I57" s="22">
        <v>1.99</v>
      </c>
      <c r="J57" s="23">
        <f t="shared" si="3"/>
        <v>269605.95620000002</v>
      </c>
    </row>
    <row r="58" spans="2:10" s="15" customFormat="1" ht="9.9499999999999993" customHeight="1">
      <c r="B58" s="20" t="s">
        <v>42</v>
      </c>
      <c r="C58" s="21"/>
      <c r="D58" s="110" t="s">
        <v>63</v>
      </c>
      <c r="E58" s="110"/>
      <c r="F58" s="110"/>
      <c r="G58" s="21" t="s">
        <v>86</v>
      </c>
      <c r="H58" s="28">
        <f>H57*0.2</f>
        <v>27096.076000000001</v>
      </c>
      <c r="I58" s="22">
        <v>9.19</v>
      </c>
      <c r="J58" s="23">
        <f t="shared" si="3"/>
        <v>249012.93844</v>
      </c>
    </row>
    <row r="59" spans="2:10" s="15" customFormat="1" ht="9.9499999999999993" customHeight="1">
      <c r="B59" s="20" t="s">
        <v>43</v>
      </c>
      <c r="C59" s="21"/>
      <c r="D59" s="110" t="s">
        <v>64</v>
      </c>
      <c r="E59" s="110"/>
      <c r="F59" s="110"/>
      <c r="G59" s="21" t="s">
        <v>87</v>
      </c>
      <c r="H59" s="28">
        <f>H58*18</f>
        <v>487729.36800000002</v>
      </c>
      <c r="I59" s="22">
        <v>1.53</v>
      </c>
      <c r="J59" s="23">
        <f t="shared" si="3"/>
        <v>746225.93304000003</v>
      </c>
    </row>
    <row r="60" spans="2:10" s="15" customFormat="1" ht="9.9499999999999993" customHeight="1">
      <c r="B60" s="20" t="s">
        <v>44</v>
      </c>
      <c r="C60" s="21"/>
      <c r="D60" s="110" t="s">
        <v>65</v>
      </c>
      <c r="E60" s="110"/>
      <c r="F60" s="110"/>
      <c r="G60" s="21" t="s">
        <v>86</v>
      </c>
      <c r="H60" s="28">
        <f>H53</f>
        <v>13599.536</v>
      </c>
      <c r="I60" s="22">
        <v>15.65</v>
      </c>
      <c r="J60" s="23">
        <f t="shared" si="3"/>
        <v>212832.7384</v>
      </c>
    </row>
    <row r="61" spans="2:10" s="15" customFormat="1" ht="9.9499999999999993" customHeight="1">
      <c r="B61" s="20" t="s">
        <v>45</v>
      </c>
      <c r="C61" s="21"/>
      <c r="D61" s="110" t="s">
        <v>66</v>
      </c>
      <c r="E61" s="110"/>
      <c r="F61" s="110"/>
      <c r="G61" s="21" t="s">
        <v>36</v>
      </c>
      <c r="H61" s="28">
        <v>67997.679999999993</v>
      </c>
      <c r="I61" s="22">
        <v>0.3</v>
      </c>
      <c r="J61" s="23">
        <f t="shared" si="3"/>
        <v>20399.303999999996</v>
      </c>
    </row>
    <row r="62" spans="2:10" s="15" customFormat="1" ht="9.9499999999999993" customHeight="1">
      <c r="B62" s="20" t="s">
        <v>46</v>
      </c>
      <c r="C62" s="21"/>
      <c r="D62" s="110" t="s">
        <v>67</v>
      </c>
      <c r="E62" s="110"/>
      <c r="F62" s="110"/>
      <c r="G62" s="21" t="s">
        <v>15</v>
      </c>
      <c r="H62" s="28">
        <f>H61/1000*1.2</f>
        <v>81.597215999999989</v>
      </c>
      <c r="I62" s="22">
        <v>2496</v>
      </c>
      <c r="J62" s="23">
        <f t="shared" si="3"/>
        <v>203666.65113599997</v>
      </c>
    </row>
    <row r="63" spans="2:10" s="15" customFormat="1" ht="9.9499999999999993" customHeight="1">
      <c r="B63" s="20" t="s">
        <v>47</v>
      </c>
      <c r="C63" s="21"/>
      <c r="D63" s="110" t="s">
        <v>68</v>
      </c>
      <c r="E63" s="110"/>
      <c r="F63" s="110"/>
      <c r="G63" s="21" t="s">
        <v>36</v>
      </c>
      <c r="H63" s="28">
        <f>H61</f>
        <v>67997.679999999993</v>
      </c>
      <c r="I63" s="22">
        <v>4.26</v>
      </c>
      <c r="J63" s="23">
        <f t="shared" si="3"/>
        <v>289670.11679999996</v>
      </c>
    </row>
    <row r="64" spans="2:10" s="15" customFormat="1" ht="9.9499999999999993" customHeight="1">
      <c r="B64" s="20" t="s">
        <v>48</v>
      </c>
      <c r="C64" s="21"/>
      <c r="D64" s="110" t="s">
        <v>69</v>
      </c>
      <c r="E64" s="110"/>
      <c r="F64" s="110"/>
      <c r="G64" s="21" t="s">
        <v>15</v>
      </c>
      <c r="H64" s="22">
        <f>H61/1000*2.8</f>
        <v>190.39350399999995</v>
      </c>
      <c r="I64" s="22">
        <v>1320</v>
      </c>
      <c r="J64" s="23">
        <f t="shared" si="3"/>
        <v>251319.42527999994</v>
      </c>
    </row>
    <row r="65" spans="2:10" s="15" customFormat="1" ht="9.9499999999999993" customHeight="1">
      <c r="B65" s="20" t="s">
        <v>49</v>
      </c>
      <c r="C65" s="21"/>
      <c r="D65" s="110" t="s">
        <v>70</v>
      </c>
      <c r="E65" s="110"/>
      <c r="F65" s="110"/>
      <c r="G65" s="21" t="s">
        <v>36</v>
      </c>
      <c r="H65" s="28">
        <f>H49</f>
        <v>135480.38</v>
      </c>
      <c r="I65" s="22">
        <v>3.94</v>
      </c>
      <c r="J65" s="23">
        <f t="shared" si="3"/>
        <v>533792.69720000005</v>
      </c>
    </row>
    <row r="66" spans="2:10" s="15" customFormat="1" ht="9.9499999999999993" customHeight="1">
      <c r="B66" s="20" t="s">
        <v>50</v>
      </c>
      <c r="C66" s="21"/>
      <c r="D66" s="110" t="s">
        <v>71</v>
      </c>
      <c r="E66" s="110"/>
      <c r="F66" s="110"/>
      <c r="G66" s="21" t="s">
        <v>15</v>
      </c>
      <c r="H66" s="22">
        <f>H65/1000*1.4</f>
        <v>189.67253199999999</v>
      </c>
      <c r="I66" s="22">
        <v>1650</v>
      </c>
      <c r="J66" s="23">
        <f t="shared" si="3"/>
        <v>312959.6778</v>
      </c>
    </row>
    <row r="67" spans="2:10" s="15" customFormat="1" ht="9.9499999999999993" customHeight="1">
      <c r="B67" s="20" t="s">
        <v>51</v>
      </c>
      <c r="C67" s="21"/>
      <c r="D67" s="110" t="s">
        <v>72</v>
      </c>
      <c r="E67" s="110"/>
      <c r="F67" s="110"/>
      <c r="G67" s="21" t="s">
        <v>87</v>
      </c>
      <c r="H67" s="22">
        <f>0.024*H63*3+0.01*H65*3</f>
        <v>8960.2443600000006</v>
      </c>
      <c r="I67" s="22">
        <v>1.81</v>
      </c>
      <c r="J67" s="23">
        <f t="shared" si="3"/>
        <v>16218.042291600001</v>
      </c>
    </row>
    <row r="68" spans="2:10" s="15" customFormat="1" ht="9.9499999999999993" customHeight="1">
      <c r="B68" s="20" t="s">
        <v>52</v>
      </c>
      <c r="C68" s="21"/>
      <c r="D68" s="110" t="s">
        <v>73</v>
      </c>
      <c r="E68" s="110"/>
      <c r="F68" s="110"/>
      <c r="G68" s="21" t="s">
        <v>88</v>
      </c>
      <c r="H68" s="22">
        <f>(H62+H64+H66+H72)*3</f>
        <v>2086.4724225</v>
      </c>
      <c r="I68" s="22">
        <v>2.7</v>
      </c>
      <c r="J68" s="23">
        <f t="shared" si="3"/>
        <v>5633.4755407500006</v>
      </c>
    </row>
    <row r="69" spans="2:10" s="15" customFormat="1" ht="9.9499999999999993" customHeight="1">
      <c r="B69" s="20" t="s">
        <v>53</v>
      </c>
      <c r="C69" s="21"/>
      <c r="D69" s="110" t="s">
        <v>74</v>
      </c>
      <c r="E69" s="110"/>
      <c r="F69" s="110"/>
      <c r="G69" s="21" t="s">
        <v>87</v>
      </c>
      <c r="H69" s="22">
        <f>H67/3*70</f>
        <v>209072.36840000001</v>
      </c>
      <c r="I69" s="22">
        <v>0.88</v>
      </c>
      <c r="J69" s="23">
        <f t="shared" si="3"/>
        <v>183983.68419200002</v>
      </c>
    </row>
    <row r="70" spans="2:10" s="15" customFormat="1" ht="9.9499999999999993" customHeight="1">
      <c r="B70" s="20" t="s">
        <v>54</v>
      </c>
      <c r="C70" s="21"/>
      <c r="D70" s="110" t="s">
        <v>75</v>
      </c>
      <c r="E70" s="110"/>
      <c r="F70" s="110"/>
      <c r="G70" s="21" t="s">
        <v>86</v>
      </c>
      <c r="H70" s="22">
        <f>(H65-H61)*0.1*0.15</f>
        <v>1012.2405000000001</v>
      </c>
      <c r="I70" s="22">
        <v>198.05</v>
      </c>
      <c r="J70" s="23">
        <f t="shared" si="3"/>
        <v>200474.23102500004</v>
      </c>
    </row>
    <row r="71" spans="2:10" s="15" customFormat="1" ht="9.9499999999999993" customHeight="1">
      <c r="B71" s="20" t="s">
        <v>55</v>
      </c>
      <c r="C71" s="21"/>
      <c r="D71" s="110" t="s">
        <v>76</v>
      </c>
      <c r="E71" s="110"/>
      <c r="F71" s="110"/>
      <c r="G71" s="21" t="s">
        <v>86</v>
      </c>
      <c r="H71" s="22">
        <f>H70</f>
        <v>1012.2405000000001</v>
      </c>
      <c r="I71" s="22">
        <v>141.91</v>
      </c>
      <c r="J71" s="23">
        <f t="shared" si="3"/>
        <v>143647.04935500002</v>
      </c>
    </row>
    <row r="72" spans="2:10" s="15" customFormat="1" ht="9.9499999999999993" customHeight="1">
      <c r="B72" s="20" t="s">
        <v>56</v>
      </c>
      <c r="C72" s="21"/>
      <c r="D72" s="110" t="s">
        <v>127</v>
      </c>
      <c r="E72" s="110"/>
      <c r="F72" s="110"/>
      <c r="G72" s="21" t="s">
        <v>15</v>
      </c>
      <c r="H72" s="28">
        <f>H71*2.2*0.105</f>
        <v>233.82755550000002</v>
      </c>
      <c r="I72" s="22">
        <v>1350</v>
      </c>
      <c r="J72" s="23">
        <f t="shared" si="3"/>
        <v>315667.19992500002</v>
      </c>
    </row>
    <row r="73" spans="2:10" s="15" customFormat="1" ht="9.9499999999999993" customHeight="1">
      <c r="B73" s="20" t="s">
        <v>57</v>
      </c>
      <c r="C73" s="21"/>
      <c r="D73" s="110" t="s">
        <v>77</v>
      </c>
      <c r="E73" s="110"/>
      <c r="F73" s="110"/>
      <c r="G73" s="21" t="s">
        <v>88</v>
      </c>
      <c r="H73" s="22">
        <f>H71*2.2*3</f>
        <v>6680.7873000000009</v>
      </c>
      <c r="I73" s="22">
        <v>1.21</v>
      </c>
      <c r="J73" s="23">
        <f t="shared" si="3"/>
        <v>8083.752633000001</v>
      </c>
    </row>
    <row r="74" spans="2:10" ht="9.9499999999999993" customHeight="1">
      <c r="B74" s="20"/>
      <c r="C74" s="21"/>
      <c r="D74" s="96" t="s">
        <v>90</v>
      </c>
      <c r="E74" s="97"/>
      <c r="F74" s="98"/>
      <c r="G74" s="21"/>
      <c r="H74" s="22"/>
      <c r="I74" s="22"/>
      <c r="J74" s="36">
        <f>SUM(J53:J73)</f>
        <v>4186723.9133116826</v>
      </c>
    </row>
    <row r="75" spans="2:10" ht="9.9499999999999993" customHeight="1">
      <c r="B75" s="20"/>
      <c r="C75" s="21"/>
      <c r="D75" s="99"/>
      <c r="E75" s="100"/>
      <c r="F75" s="101"/>
      <c r="G75" s="21"/>
      <c r="H75" s="22"/>
      <c r="I75" s="22"/>
      <c r="J75" s="23"/>
    </row>
    <row r="76" spans="2:10" ht="9.9499999999999993" customHeight="1">
      <c r="B76" s="26">
        <v>3</v>
      </c>
      <c r="C76" s="27"/>
      <c r="D76" s="111" t="s">
        <v>10</v>
      </c>
      <c r="E76" s="111"/>
      <c r="F76" s="111"/>
      <c r="G76" s="21"/>
      <c r="H76" s="22"/>
      <c r="I76" s="22"/>
      <c r="J76" s="23"/>
    </row>
    <row r="77" spans="2:10" ht="9.9499999999999993" customHeight="1">
      <c r="B77" s="20" t="s">
        <v>80</v>
      </c>
      <c r="C77" s="21"/>
      <c r="D77" s="110" t="s">
        <v>78</v>
      </c>
      <c r="E77" s="110"/>
      <c r="F77" s="110"/>
      <c r="G77" s="21" t="s">
        <v>11</v>
      </c>
      <c r="H77" s="28">
        <f>H49/7*2*0.15</f>
        <v>5806.3019999999997</v>
      </c>
      <c r="I77" s="22">
        <v>25.47</v>
      </c>
      <c r="J77" s="23">
        <f t="shared" ref="J77:J78" si="4">H77*I77</f>
        <v>147886.51194</v>
      </c>
    </row>
    <row r="78" spans="2:10" ht="9.9499999999999993" customHeight="1">
      <c r="B78" s="20" t="s">
        <v>81</v>
      </c>
      <c r="C78" s="21"/>
      <c r="D78" s="110" t="s">
        <v>79</v>
      </c>
      <c r="E78" s="110"/>
      <c r="F78" s="110"/>
      <c r="G78" s="21" t="s">
        <v>86</v>
      </c>
      <c r="H78" s="28">
        <f>H49/7/100*0.5</f>
        <v>96.771699999999996</v>
      </c>
      <c r="I78" s="22">
        <v>41.13</v>
      </c>
      <c r="J78" s="23">
        <f t="shared" si="4"/>
        <v>3980.2200210000001</v>
      </c>
    </row>
    <row r="79" spans="2:10" ht="9.9499999999999993" customHeight="1">
      <c r="B79" s="20"/>
      <c r="C79" s="21"/>
      <c r="D79" s="96" t="s">
        <v>91</v>
      </c>
      <c r="E79" s="97"/>
      <c r="F79" s="98"/>
      <c r="G79" s="21"/>
      <c r="H79" s="28"/>
      <c r="I79" s="22"/>
      <c r="J79" s="36">
        <f>SUM(J77:J78)</f>
        <v>151866.73196099998</v>
      </c>
    </row>
    <row r="80" spans="2:10" ht="9.9499999999999993" customHeight="1">
      <c r="B80" s="20"/>
      <c r="C80" s="21"/>
      <c r="D80" s="99"/>
      <c r="E80" s="100"/>
      <c r="F80" s="101"/>
      <c r="G80" s="21"/>
      <c r="H80" s="28"/>
      <c r="I80" s="22"/>
      <c r="J80" s="23"/>
    </row>
    <row r="81" spans="2:10" ht="9.9499999999999993" customHeight="1">
      <c r="B81" s="26">
        <v>4</v>
      </c>
      <c r="C81" s="27"/>
      <c r="D81" s="111" t="s">
        <v>12</v>
      </c>
      <c r="E81" s="111"/>
      <c r="F81" s="111"/>
      <c r="G81" s="21"/>
      <c r="H81" s="28"/>
      <c r="I81" s="22"/>
      <c r="J81" s="23"/>
    </row>
    <row r="82" spans="2:10" ht="9.9499999999999993" customHeight="1">
      <c r="B82" s="20" t="s">
        <v>82</v>
      </c>
      <c r="C82" s="21"/>
      <c r="D82" s="110" t="s">
        <v>84</v>
      </c>
      <c r="E82" s="110"/>
      <c r="F82" s="110"/>
      <c r="G82" s="21" t="s">
        <v>36</v>
      </c>
      <c r="H82" s="28">
        <v>4064.41</v>
      </c>
      <c r="I82" s="22">
        <v>11.71</v>
      </c>
      <c r="J82" s="23">
        <f t="shared" ref="J82:J83" si="5">H82*I82</f>
        <v>47594.241099999999</v>
      </c>
    </row>
    <row r="83" spans="2:10" ht="9.9499999999999993" customHeight="1">
      <c r="B83" s="20" t="s">
        <v>83</v>
      </c>
      <c r="C83" s="21"/>
      <c r="D83" s="110" t="s">
        <v>85</v>
      </c>
      <c r="E83" s="110"/>
      <c r="F83" s="110"/>
      <c r="G83" s="21" t="s">
        <v>36</v>
      </c>
      <c r="H83" s="28">
        <v>81.290000000000006</v>
      </c>
      <c r="I83" s="22">
        <v>370.79</v>
      </c>
      <c r="J83" s="23">
        <f t="shared" si="5"/>
        <v>30141.519100000005</v>
      </c>
    </row>
    <row r="84" spans="2:10" ht="9.9499999999999993" customHeight="1">
      <c r="B84" s="20"/>
      <c r="C84" s="21"/>
      <c r="D84" s="96" t="s">
        <v>92</v>
      </c>
      <c r="E84" s="97"/>
      <c r="F84" s="98"/>
      <c r="G84" s="21"/>
      <c r="H84" s="22"/>
      <c r="I84" s="22"/>
      <c r="J84" s="36">
        <f>SUM(J82:J83)</f>
        <v>77735.760200000004</v>
      </c>
    </row>
    <row r="85" spans="2:10" ht="9.9499999999999993" customHeight="1">
      <c r="B85" s="20"/>
      <c r="C85" s="21"/>
      <c r="D85" s="96" t="s">
        <v>95</v>
      </c>
      <c r="E85" s="97"/>
      <c r="F85" s="98"/>
      <c r="G85" s="21"/>
      <c r="H85" s="22"/>
      <c r="I85" s="22"/>
      <c r="J85" s="36">
        <f>J50+J74+J79+J84</f>
        <v>4477292.5764726829</v>
      </c>
    </row>
    <row r="86" spans="2:10" ht="9.9499999999999993" customHeight="1">
      <c r="B86" s="20"/>
      <c r="C86" s="21"/>
      <c r="D86" s="108"/>
      <c r="E86" s="108"/>
      <c r="F86" s="108"/>
      <c r="G86" s="21"/>
      <c r="H86" s="22"/>
      <c r="I86" s="22"/>
      <c r="J86" s="23"/>
    </row>
    <row r="87" spans="2:10" ht="20.100000000000001" customHeight="1">
      <c r="B87" s="95" t="s">
        <v>96</v>
      </c>
      <c r="C87" s="95"/>
      <c r="D87" s="95"/>
      <c r="E87" s="95"/>
      <c r="F87" s="95"/>
      <c r="G87" s="95"/>
      <c r="H87" s="95"/>
      <c r="I87" s="95"/>
      <c r="J87" s="95"/>
    </row>
    <row r="88" spans="2:10" ht="9.9499999999999993" customHeight="1">
      <c r="B88" s="35">
        <v>1</v>
      </c>
      <c r="C88" s="17"/>
      <c r="D88" s="109" t="s">
        <v>14</v>
      </c>
      <c r="E88" s="109"/>
      <c r="F88" s="109"/>
      <c r="G88" s="18"/>
      <c r="H88" s="18"/>
      <c r="I88" s="19"/>
      <c r="J88" s="18"/>
    </row>
    <row r="89" spans="2:10" ht="9.9499999999999993" customHeight="1">
      <c r="B89" s="20" t="s">
        <v>33</v>
      </c>
      <c r="C89" s="21" t="s">
        <v>34</v>
      </c>
      <c r="D89" s="110" t="s">
        <v>35</v>
      </c>
      <c r="E89" s="110"/>
      <c r="F89" s="110"/>
      <c r="G89" s="21" t="s">
        <v>36</v>
      </c>
      <c r="H89" s="28">
        <v>30258</v>
      </c>
      <c r="I89" s="22">
        <v>0.45</v>
      </c>
      <c r="J89" s="23">
        <f>H89*I89</f>
        <v>13616.1</v>
      </c>
    </row>
    <row r="90" spans="2:10" ht="9.9499999999999993" customHeight="1">
      <c r="B90" s="24"/>
      <c r="C90" s="25"/>
      <c r="D90" s="96" t="s">
        <v>89</v>
      </c>
      <c r="E90" s="97"/>
      <c r="F90" s="98"/>
      <c r="G90" s="25"/>
      <c r="H90" s="49"/>
      <c r="I90" s="25"/>
      <c r="J90" s="36">
        <f>J89</f>
        <v>13616.1</v>
      </c>
    </row>
    <row r="91" spans="2:10" ht="9.9499999999999993" customHeight="1">
      <c r="B91" s="24"/>
      <c r="C91" s="25"/>
      <c r="D91" s="112"/>
      <c r="E91" s="112"/>
      <c r="F91" s="112"/>
      <c r="G91" s="34"/>
      <c r="H91" s="49"/>
      <c r="I91" s="25"/>
      <c r="J91" s="24"/>
    </row>
    <row r="92" spans="2:10" ht="9.9499999999999993" customHeight="1">
      <c r="B92" s="26">
        <v>2</v>
      </c>
      <c r="C92" s="27"/>
      <c r="D92" s="111" t="s">
        <v>9</v>
      </c>
      <c r="E92" s="111"/>
      <c r="F92" s="111"/>
      <c r="G92" s="8"/>
      <c r="H92" s="49"/>
      <c r="I92" s="25"/>
      <c r="J92" s="24"/>
    </row>
    <row r="93" spans="2:10" ht="9.9499999999999993" customHeight="1">
      <c r="B93" s="20" t="s">
        <v>37</v>
      </c>
      <c r="C93" s="21">
        <v>40425</v>
      </c>
      <c r="D93" s="110" t="s">
        <v>58</v>
      </c>
      <c r="E93" s="110"/>
      <c r="F93" s="110"/>
      <c r="G93" s="21" t="s">
        <v>86</v>
      </c>
      <c r="H93" s="28">
        <f>H101*0.2</f>
        <v>4820.4000000000005</v>
      </c>
      <c r="I93" s="22">
        <v>5.9</v>
      </c>
      <c r="J93" s="23">
        <f t="shared" ref="J93:J113" si="6">H93*I93</f>
        <v>28440.360000000004</v>
      </c>
    </row>
    <row r="94" spans="2:10" ht="9.9499999999999993" customHeight="1">
      <c r="B94" s="20" t="s">
        <v>38</v>
      </c>
      <c r="C94" s="21"/>
      <c r="D94" s="110" t="s">
        <v>59</v>
      </c>
      <c r="E94" s="110"/>
      <c r="F94" s="110"/>
      <c r="G94" s="21" t="s">
        <v>87</v>
      </c>
      <c r="H94" s="28">
        <f>H101*0.2*6</f>
        <v>28922.400000000001</v>
      </c>
      <c r="I94" s="22">
        <v>1.57</v>
      </c>
      <c r="J94" s="23">
        <f t="shared" si="6"/>
        <v>45408.168000000005</v>
      </c>
    </row>
    <row r="95" spans="2:10" ht="9.9499999999999993" customHeight="1">
      <c r="B95" s="20" t="s">
        <v>39</v>
      </c>
      <c r="C95" s="21"/>
      <c r="D95" s="110" t="s">
        <v>60</v>
      </c>
      <c r="E95" s="110"/>
      <c r="F95" s="110"/>
      <c r="G95" s="21" t="s">
        <v>36</v>
      </c>
      <c r="H95" s="28">
        <f>H93/0.6</f>
        <v>8034.0000000000009</v>
      </c>
      <c r="I95" s="22">
        <v>0.35</v>
      </c>
      <c r="J95" s="23">
        <f t="shared" si="6"/>
        <v>2811.9</v>
      </c>
    </row>
    <row r="96" spans="2:10" ht="9.9499999999999993" customHeight="1">
      <c r="B96" s="20" t="s">
        <v>40</v>
      </c>
      <c r="C96" s="21"/>
      <c r="D96" s="110" t="s">
        <v>61</v>
      </c>
      <c r="E96" s="110"/>
      <c r="F96" s="110"/>
      <c r="G96" s="21" t="s">
        <v>36</v>
      </c>
      <c r="H96" s="28">
        <f>H95</f>
        <v>8034.0000000000009</v>
      </c>
      <c r="I96" s="22">
        <v>0.32</v>
      </c>
      <c r="J96" s="23">
        <f t="shared" si="6"/>
        <v>2570.8800000000006</v>
      </c>
    </row>
    <row r="97" spans="2:10" ht="9.9499999999999993" customHeight="1">
      <c r="B97" s="20" t="s">
        <v>41</v>
      </c>
      <c r="C97" s="21"/>
      <c r="D97" s="110" t="s">
        <v>62</v>
      </c>
      <c r="E97" s="110"/>
      <c r="F97" s="110"/>
      <c r="G97" s="21" t="s">
        <v>36</v>
      </c>
      <c r="H97" s="28">
        <f>H89</f>
        <v>30258</v>
      </c>
      <c r="I97" s="22">
        <v>1.99</v>
      </c>
      <c r="J97" s="23">
        <f t="shared" si="6"/>
        <v>60213.42</v>
      </c>
    </row>
    <row r="98" spans="2:10" ht="9.9499999999999993" customHeight="1">
      <c r="B98" s="20" t="s">
        <v>42</v>
      </c>
      <c r="C98" s="21"/>
      <c r="D98" s="110" t="s">
        <v>63</v>
      </c>
      <c r="E98" s="110"/>
      <c r="F98" s="110"/>
      <c r="G98" s="21" t="s">
        <v>86</v>
      </c>
      <c r="H98" s="28">
        <f>H97*0.2</f>
        <v>6051.6</v>
      </c>
      <c r="I98" s="22">
        <v>9.19</v>
      </c>
      <c r="J98" s="23">
        <f t="shared" si="6"/>
        <v>55614.203999999998</v>
      </c>
    </row>
    <row r="99" spans="2:10" ht="9.9499999999999993" customHeight="1">
      <c r="B99" s="20" t="s">
        <v>43</v>
      </c>
      <c r="C99" s="21"/>
      <c r="D99" s="110" t="s">
        <v>64</v>
      </c>
      <c r="E99" s="110"/>
      <c r="F99" s="110"/>
      <c r="G99" s="21" t="s">
        <v>87</v>
      </c>
      <c r="H99" s="28">
        <f>H98*18</f>
        <v>108928.8</v>
      </c>
      <c r="I99" s="22">
        <v>1.53</v>
      </c>
      <c r="J99" s="23">
        <f t="shared" si="6"/>
        <v>166661.06400000001</v>
      </c>
    </row>
    <row r="100" spans="2:10" ht="9.9499999999999993" customHeight="1">
      <c r="B100" s="20" t="s">
        <v>44</v>
      </c>
      <c r="C100" s="21"/>
      <c r="D100" s="110" t="s">
        <v>65</v>
      </c>
      <c r="E100" s="110"/>
      <c r="F100" s="110"/>
      <c r="G100" s="21" t="s">
        <v>86</v>
      </c>
      <c r="H100" s="28">
        <f>H93</f>
        <v>4820.4000000000005</v>
      </c>
      <c r="I100" s="22">
        <v>15.65</v>
      </c>
      <c r="J100" s="23">
        <f t="shared" si="6"/>
        <v>75439.260000000009</v>
      </c>
    </row>
    <row r="101" spans="2:10" ht="9.9499999999999993" customHeight="1">
      <c r="B101" s="20" t="s">
        <v>45</v>
      </c>
      <c r="C101" s="21"/>
      <c r="D101" s="110" t="s">
        <v>66</v>
      </c>
      <c r="E101" s="110"/>
      <c r="F101" s="110"/>
      <c r="G101" s="21" t="s">
        <v>36</v>
      </c>
      <c r="H101" s="28">
        <v>24102</v>
      </c>
      <c r="I101" s="22">
        <v>0.3</v>
      </c>
      <c r="J101" s="23">
        <f t="shared" si="6"/>
        <v>7230.5999999999995</v>
      </c>
    </row>
    <row r="102" spans="2:10" ht="9.9499999999999993" customHeight="1">
      <c r="B102" s="20" t="s">
        <v>46</v>
      </c>
      <c r="C102" s="21"/>
      <c r="D102" s="110" t="s">
        <v>67</v>
      </c>
      <c r="E102" s="110"/>
      <c r="F102" s="110"/>
      <c r="G102" s="21" t="s">
        <v>15</v>
      </c>
      <c r="H102" s="28">
        <f>H101/1000*1.2</f>
        <v>28.9224</v>
      </c>
      <c r="I102" s="22">
        <v>2496</v>
      </c>
      <c r="J102" s="23">
        <f t="shared" si="6"/>
        <v>72190.310400000002</v>
      </c>
    </row>
    <row r="103" spans="2:10" ht="9.9499999999999993" customHeight="1">
      <c r="B103" s="20" t="s">
        <v>47</v>
      </c>
      <c r="C103" s="21"/>
      <c r="D103" s="110" t="s">
        <v>68</v>
      </c>
      <c r="E103" s="110"/>
      <c r="F103" s="110"/>
      <c r="G103" s="21" t="s">
        <v>36</v>
      </c>
      <c r="H103" s="28">
        <f>H101</f>
        <v>24102</v>
      </c>
      <c r="I103" s="22">
        <v>4.26</v>
      </c>
      <c r="J103" s="23">
        <f t="shared" si="6"/>
        <v>102674.51999999999</v>
      </c>
    </row>
    <row r="104" spans="2:10" ht="9.9499999999999993" customHeight="1">
      <c r="B104" s="20" t="s">
        <v>48</v>
      </c>
      <c r="C104" s="21"/>
      <c r="D104" s="110" t="s">
        <v>69</v>
      </c>
      <c r="E104" s="110"/>
      <c r="F104" s="110"/>
      <c r="G104" s="21" t="s">
        <v>15</v>
      </c>
      <c r="H104" s="22">
        <f>H101/1000*2.8</f>
        <v>67.485599999999991</v>
      </c>
      <c r="I104" s="22">
        <v>1320</v>
      </c>
      <c r="J104" s="23">
        <f t="shared" si="6"/>
        <v>89080.991999999984</v>
      </c>
    </row>
    <row r="105" spans="2:10" ht="9.9499999999999993" customHeight="1">
      <c r="B105" s="20" t="s">
        <v>49</v>
      </c>
      <c r="C105" s="21"/>
      <c r="D105" s="110" t="s">
        <v>70</v>
      </c>
      <c r="E105" s="110"/>
      <c r="F105" s="110"/>
      <c r="G105" s="21" t="s">
        <v>36</v>
      </c>
      <c r="H105" s="28">
        <f>H89</f>
        <v>30258</v>
      </c>
      <c r="I105" s="22">
        <v>3.94</v>
      </c>
      <c r="J105" s="23">
        <f t="shared" si="6"/>
        <v>119216.52</v>
      </c>
    </row>
    <row r="106" spans="2:10" ht="9.9499999999999993" customHeight="1">
      <c r="B106" s="20" t="s">
        <v>50</v>
      </c>
      <c r="C106" s="21"/>
      <c r="D106" s="110" t="s">
        <v>71</v>
      </c>
      <c r="E106" s="110"/>
      <c r="F106" s="110"/>
      <c r="G106" s="21" t="s">
        <v>15</v>
      </c>
      <c r="H106" s="22">
        <f>H105/1000*1.4</f>
        <v>42.361199999999997</v>
      </c>
      <c r="I106" s="22">
        <v>1650</v>
      </c>
      <c r="J106" s="23">
        <f t="shared" si="6"/>
        <v>69895.98</v>
      </c>
    </row>
    <row r="107" spans="2:10" ht="9.9499999999999993" customHeight="1">
      <c r="B107" s="20" t="s">
        <v>51</v>
      </c>
      <c r="C107" s="21"/>
      <c r="D107" s="110" t="s">
        <v>72</v>
      </c>
      <c r="E107" s="110"/>
      <c r="F107" s="110"/>
      <c r="G107" s="21" t="s">
        <v>87</v>
      </c>
      <c r="H107" s="22">
        <f>0.024*H103*3+0.01*H105*3</f>
        <v>2643.0839999999998</v>
      </c>
      <c r="I107" s="22">
        <v>1.81</v>
      </c>
      <c r="J107" s="23">
        <f t="shared" si="6"/>
        <v>4783.9820399999999</v>
      </c>
    </row>
    <row r="108" spans="2:10" ht="9.9499999999999993" customHeight="1">
      <c r="B108" s="20" t="s">
        <v>52</v>
      </c>
      <c r="C108" s="21"/>
      <c r="D108" s="110" t="s">
        <v>73</v>
      </c>
      <c r="E108" s="110"/>
      <c r="F108" s="110"/>
      <c r="G108" s="21" t="s">
        <v>88</v>
      </c>
      <c r="H108" s="22">
        <f>(H102+H104+H106+H112)*3</f>
        <v>480.29921999999999</v>
      </c>
      <c r="I108" s="22">
        <v>2.7</v>
      </c>
      <c r="J108" s="23">
        <f t="shared" si="6"/>
        <v>1296.807894</v>
      </c>
    </row>
    <row r="109" spans="2:10" ht="9.9499999999999993" customHeight="1">
      <c r="B109" s="20" t="s">
        <v>53</v>
      </c>
      <c r="C109" s="21"/>
      <c r="D109" s="110" t="s">
        <v>74</v>
      </c>
      <c r="E109" s="110"/>
      <c r="F109" s="110"/>
      <c r="G109" s="21" t="s">
        <v>87</v>
      </c>
      <c r="H109" s="22">
        <f>H107/3*70</f>
        <v>61671.959999999992</v>
      </c>
      <c r="I109" s="22">
        <v>0.88</v>
      </c>
      <c r="J109" s="23">
        <f t="shared" si="6"/>
        <v>54271.324799999995</v>
      </c>
    </row>
    <row r="110" spans="2:10" ht="9.9499999999999993" customHeight="1">
      <c r="B110" s="20" t="s">
        <v>54</v>
      </c>
      <c r="C110" s="21"/>
      <c r="D110" s="110" t="s">
        <v>75</v>
      </c>
      <c r="E110" s="110"/>
      <c r="F110" s="110"/>
      <c r="G110" s="21" t="s">
        <v>86</v>
      </c>
      <c r="H110" s="22">
        <f>(H105-H101)*0.1*0.15</f>
        <v>92.34</v>
      </c>
      <c r="I110" s="22">
        <v>198.05</v>
      </c>
      <c r="J110" s="23">
        <f t="shared" si="6"/>
        <v>18287.937000000002</v>
      </c>
    </row>
    <row r="111" spans="2:10" ht="9.9499999999999993" customHeight="1">
      <c r="B111" s="20" t="s">
        <v>55</v>
      </c>
      <c r="C111" s="21"/>
      <c r="D111" s="110" t="s">
        <v>76</v>
      </c>
      <c r="E111" s="110"/>
      <c r="F111" s="110"/>
      <c r="G111" s="21" t="s">
        <v>86</v>
      </c>
      <c r="H111" s="22">
        <f>H110</f>
        <v>92.34</v>
      </c>
      <c r="I111" s="22">
        <v>141.91</v>
      </c>
      <c r="J111" s="23">
        <f t="shared" si="6"/>
        <v>13103.9694</v>
      </c>
    </row>
    <row r="112" spans="2:10" ht="9.9499999999999993" customHeight="1">
      <c r="B112" s="20" t="s">
        <v>56</v>
      </c>
      <c r="C112" s="21"/>
      <c r="D112" s="110" t="s">
        <v>127</v>
      </c>
      <c r="E112" s="110"/>
      <c r="F112" s="110"/>
      <c r="G112" s="21" t="s">
        <v>15</v>
      </c>
      <c r="H112" s="28">
        <f>H111*2.2*0.105</f>
        <v>21.330540000000003</v>
      </c>
      <c r="I112" s="22">
        <v>1350</v>
      </c>
      <c r="J112" s="23">
        <f t="shared" si="6"/>
        <v>28796.229000000003</v>
      </c>
    </row>
    <row r="113" spans="2:10" ht="9.9499999999999993" customHeight="1">
      <c r="B113" s="20" t="s">
        <v>57</v>
      </c>
      <c r="C113" s="21"/>
      <c r="D113" s="110" t="s">
        <v>77</v>
      </c>
      <c r="E113" s="110"/>
      <c r="F113" s="110"/>
      <c r="G113" s="21" t="s">
        <v>88</v>
      </c>
      <c r="H113" s="22">
        <f>H111*2.2*3</f>
        <v>609.44400000000007</v>
      </c>
      <c r="I113" s="22">
        <v>1.21</v>
      </c>
      <c r="J113" s="23">
        <f t="shared" si="6"/>
        <v>737.4272400000001</v>
      </c>
    </row>
    <row r="114" spans="2:10" ht="9.9499999999999993" customHeight="1">
      <c r="B114" s="20"/>
      <c r="C114" s="21"/>
      <c r="D114" s="96" t="s">
        <v>90</v>
      </c>
      <c r="E114" s="97"/>
      <c r="F114" s="98"/>
      <c r="G114" s="21"/>
      <c r="H114" s="22"/>
      <c r="I114" s="22"/>
      <c r="J114" s="36">
        <f>SUM(J93:J113)</f>
        <v>1018725.8557739999</v>
      </c>
    </row>
    <row r="115" spans="2:10" ht="9.9499999999999993" customHeight="1">
      <c r="B115" s="20"/>
      <c r="C115" s="21"/>
      <c r="D115" s="99"/>
      <c r="E115" s="100"/>
      <c r="F115" s="101"/>
      <c r="G115" s="21"/>
      <c r="H115" s="22"/>
      <c r="I115" s="22"/>
      <c r="J115" s="23"/>
    </row>
    <row r="116" spans="2:10" ht="9.9499999999999993" customHeight="1">
      <c r="B116" s="26">
        <v>3</v>
      </c>
      <c r="C116" s="27"/>
      <c r="D116" s="111" t="s">
        <v>10</v>
      </c>
      <c r="E116" s="111"/>
      <c r="F116" s="111"/>
      <c r="G116" s="21"/>
      <c r="H116" s="22"/>
      <c r="I116" s="22"/>
      <c r="J116" s="23"/>
    </row>
    <row r="117" spans="2:10" ht="9.9499999999999993" customHeight="1">
      <c r="B117" s="20" t="s">
        <v>80</v>
      </c>
      <c r="C117" s="21"/>
      <c r="D117" s="110" t="s">
        <v>78</v>
      </c>
      <c r="E117" s="110"/>
      <c r="F117" s="110"/>
      <c r="G117" s="21" t="s">
        <v>11</v>
      </c>
      <c r="H117" s="28">
        <f>H89/7*2*0.15</f>
        <v>1296.7714285714285</v>
      </c>
      <c r="I117" s="22">
        <v>25.47</v>
      </c>
      <c r="J117" s="23">
        <f t="shared" ref="J117:J118" si="7">H117*I117</f>
        <v>33028.768285714279</v>
      </c>
    </row>
    <row r="118" spans="2:10" ht="9.9499999999999993" customHeight="1">
      <c r="B118" s="20" t="s">
        <v>81</v>
      </c>
      <c r="C118" s="21"/>
      <c r="D118" s="110" t="s">
        <v>79</v>
      </c>
      <c r="E118" s="110"/>
      <c r="F118" s="110"/>
      <c r="G118" s="21" t="s">
        <v>86</v>
      </c>
      <c r="H118" s="28">
        <f>H89/7/100*0.5</f>
        <v>21.612857142857141</v>
      </c>
      <c r="I118" s="22">
        <v>41.13</v>
      </c>
      <c r="J118" s="23">
        <f t="shared" si="7"/>
        <v>888.93681428571426</v>
      </c>
    </row>
    <row r="119" spans="2:10" ht="9.9499999999999993" customHeight="1">
      <c r="B119" s="20"/>
      <c r="C119" s="21"/>
      <c r="D119" s="96" t="s">
        <v>91</v>
      </c>
      <c r="E119" s="97"/>
      <c r="F119" s="98"/>
      <c r="G119" s="21"/>
      <c r="H119" s="28"/>
      <c r="I119" s="22"/>
      <c r="J119" s="36">
        <f>SUM(J117:J118)</f>
        <v>33917.705099999992</v>
      </c>
    </row>
    <row r="120" spans="2:10" ht="9.9499999999999993" customHeight="1">
      <c r="B120" s="20"/>
      <c r="C120" s="21"/>
      <c r="D120" s="99"/>
      <c r="E120" s="100"/>
      <c r="F120" s="101"/>
      <c r="G120" s="21"/>
      <c r="H120" s="28"/>
      <c r="I120" s="22"/>
      <c r="J120" s="23"/>
    </row>
    <row r="121" spans="2:10" ht="9.9499999999999993" customHeight="1">
      <c r="B121" s="26">
        <v>4</v>
      </c>
      <c r="C121" s="27"/>
      <c r="D121" s="111" t="s">
        <v>12</v>
      </c>
      <c r="E121" s="111"/>
      <c r="F121" s="111"/>
      <c r="G121" s="21"/>
      <c r="H121" s="28"/>
      <c r="I121" s="22"/>
      <c r="J121" s="23"/>
    </row>
    <row r="122" spans="2:10" ht="9.9499999999999993" customHeight="1">
      <c r="B122" s="20" t="s">
        <v>82</v>
      </c>
      <c r="C122" s="21"/>
      <c r="D122" s="110" t="s">
        <v>84</v>
      </c>
      <c r="E122" s="110"/>
      <c r="F122" s="110"/>
      <c r="G122" s="21" t="s">
        <v>36</v>
      </c>
      <c r="H122" s="28">
        <v>907.74</v>
      </c>
      <c r="I122" s="22">
        <v>11.71</v>
      </c>
      <c r="J122" s="23">
        <f t="shared" ref="J122:J123" si="8">H122*I122</f>
        <v>10629.635400000001</v>
      </c>
    </row>
    <row r="123" spans="2:10" ht="9.9499999999999993" customHeight="1">
      <c r="B123" s="20" t="s">
        <v>83</v>
      </c>
      <c r="C123" s="21"/>
      <c r="D123" s="110" t="s">
        <v>85</v>
      </c>
      <c r="E123" s="110"/>
      <c r="F123" s="110"/>
      <c r="G123" s="21" t="s">
        <v>36</v>
      </c>
      <c r="H123" s="28">
        <v>18.149999999999999</v>
      </c>
      <c r="I123" s="22">
        <v>370.79</v>
      </c>
      <c r="J123" s="23">
        <f t="shared" si="8"/>
        <v>6729.8384999999998</v>
      </c>
    </row>
    <row r="124" spans="2:10" ht="9.9499999999999993" customHeight="1">
      <c r="B124" s="20"/>
      <c r="C124" s="21"/>
      <c r="D124" s="96" t="s">
        <v>92</v>
      </c>
      <c r="E124" s="97"/>
      <c r="F124" s="98"/>
      <c r="G124" s="21"/>
      <c r="H124" s="28"/>
      <c r="I124" s="22"/>
      <c r="J124" s="36">
        <f>SUM(J122:J123)</f>
        <v>17359.473900000001</v>
      </c>
    </row>
    <row r="125" spans="2:10" ht="9.9499999999999993" customHeight="1">
      <c r="B125" s="20"/>
      <c r="C125" s="21"/>
      <c r="D125" s="96" t="s">
        <v>97</v>
      </c>
      <c r="E125" s="97"/>
      <c r="F125" s="98"/>
      <c r="G125" s="21"/>
      <c r="H125" s="22"/>
      <c r="I125" s="22"/>
      <c r="J125" s="36">
        <f>J90+J114+J119+J124</f>
        <v>1083619.1347739999</v>
      </c>
    </row>
    <row r="126" spans="2:10" ht="9.9499999999999993" customHeight="1">
      <c r="B126" s="20"/>
      <c r="C126" s="21"/>
      <c r="D126" s="108"/>
      <c r="E126" s="108"/>
      <c r="F126" s="108"/>
      <c r="G126" s="21"/>
      <c r="H126" s="22"/>
      <c r="I126" s="22"/>
      <c r="J126" s="23"/>
    </row>
    <row r="127" spans="2:10" ht="20.100000000000001" customHeight="1">
      <c r="B127" s="95" t="s">
        <v>98</v>
      </c>
      <c r="C127" s="95"/>
      <c r="D127" s="95"/>
      <c r="E127" s="95"/>
      <c r="F127" s="95"/>
      <c r="G127" s="95"/>
      <c r="H127" s="95"/>
      <c r="I127" s="95"/>
      <c r="J127" s="95"/>
    </row>
    <row r="128" spans="2:10" ht="9.9499999999999993" customHeight="1">
      <c r="B128" s="35">
        <v>1</v>
      </c>
      <c r="C128" s="17"/>
      <c r="D128" s="109" t="s">
        <v>14</v>
      </c>
      <c r="E128" s="109"/>
      <c r="F128" s="109"/>
      <c r="G128" s="18"/>
      <c r="H128" s="18"/>
      <c r="I128" s="19"/>
      <c r="J128" s="18"/>
    </row>
    <row r="129" spans="2:10" ht="9.9499999999999993" customHeight="1">
      <c r="B129" s="20" t="s">
        <v>33</v>
      </c>
      <c r="C129" s="21" t="s">
        <v>34</v>
      </c>
      <c r="D129" s="110" t="s">
        <v>35</v>
      </c>
      <c r="E129" s="110"/>
      <c r="F129" s="110"/>
      <c r="G129" s="21" t="s">
        <v>36</v>
      </c>
      <c r="H129" s="28">
        <v>12476</v>
      </c>
      <c r="I129" s="22">
        <v>0.45</v>
      </c>
      <c r="J129" s="23">
        <f>H129*I129</f>
        <v>5614.2</v>
      </c>
    </row>
    <row r="130" spans="2:10" ht="9.9499999999999993" customHeight="1">
      <c r="B130" s="24"/>
      <c r="C130" s="25"/>
      <c r="D130" s="96" t="s">
        <v>89</v>
      </c>
      <c r="E130" s="97"/>
      <c r="F130" s="98"/>
      <c r="G130" s="25"/>
      <c r="H130" s="25"/>
      <c r="I130" s="25"/>
      <c r="J130" s="36">
        <f>J129</f>
        <v>5614.2</v>
      </c>
    </row>
    <row r="131" spans="2:10" ht="9.9499999999999993" customHeight="1">
      <c r="B131" s="24"/>
      <c r="C131" s="25"/>
      <c r="D131" s="112"/>
      <c r="E131" s="112"/>
      <c r="F131" s="112"/>
      <c r="G131" s="34"/>
      <c r="H131" s="25"/>
      <c r="I131" s="25"/>
      <c r="J131" s="24"/>
    </row>
    <row r="132" spans="2:10" ht="9.9499999999999993" customHeight="1">
      <c r="B132" s="26">
        <v>2</v>
      </c>
      <c r="C132" s="27"/>
      <c r="D132" s="111" t="s">
        <v>9</v>
      </c>
      <c r="E132" s="111"/>
      <c r="F132" s="111"/>
      <c r="G132" s="8"/>
      <c r="H132" s="25"/>
      <c r="I132" s="25"/>
      <c r="J132" s="24"/>
    </row>
    <row r="133" spans="2:10" ht="9.9499999999999993" customHeight="1">
      <c r="B133" s="20" t="s">
        <v>37</v>
      </c>
      <c r="C133" s="21">
        <v>40425</v>
      </c>
      <c r="D133" s="110" t="s">
        <v>58</v>
      </c>
      <c r="E133" s="110"/>
      <c r="F133" s="110"/>
      <c r="G133" s="21" t="s">
        <v>86</v>
      </c>
      <c r="H133" s="28">
        <f>H141*0.2</f>
        <v>2495.2000000000003</v>
      </c>
      <c r="I133" s="22">
        <v>5.9</v>
      </c>
      <c r="J133" s="23">
        <f t="shared" ref="J133:J153" si="9">H133*I133</f>
        <v>14721.680000000002</v>
      </c>
    </row>
    <row r="134" spans="2:10" ht="9.9499999999999993" customHeight="1">
      <c r="B134" s="20" t="s">
        <v>38</v>
      </c>
      <c r="C134" s="21"/>
      <c r="D134" s="110" t="s">
        <v>59</v>
      </c>
      <c r="E134" s="110"/>
      <c r="F134" s="110"/>
      <c r="G134" s="21" t="s">
        <v>87</v>
      </c>
      <c r="H134" s="28">
        <f>H141*0.2*6</f>
        <v>14971.2</v>
      </c>
      <c r="I134" s="22">
        <v>1.57</v>
      </c>
      <c r="J134" s="23">
        <f t="shared" si="9"/>
        <v>23504.784000000003</v>
      </c>
    </row>
    <row r="135" spans="2:10" ht="9.9499999999999993" customHeight="1">
      <c r="B135" s="20" t="s">
        <v>39</v>
      </c>
      <c r="C135" s="21"/>
      <c r="D135" s="110" t="s">
        <v>60</v>
      </c>
      <c r="E135" s="110"/>
      <c r="F135" s="110"/>
      <c r="G135" s="21" t="s">
        <v>36</v>
      </c>
      <c r="H135" s="28">
        <f>H133/0.6</f>
        <v>4158.666666666667</v>
      </c>
      <c r="I135" s="22">
        <v>0.35</v>
      </c>
      <c r="J135" s="23">
        <f t="shared" si="9"/>
        <v>1455.5333333333333</v>
      </c>
    </row>
    <row r="136" spans="2:10" ht="9.9499999999999993" customHeight="1">
      <c r="B136" s="20" t="s">
        <v>40</v>
      </c>
      <c r="C136" s="21"/>
      <c r="D136" s="110" t="s">
        <v>61</v>
      </c>
      <c r="E136" s="110"/>
      <c r="F136" s="110"/>
      <c r="G136" s="21" t="s">
        <v>36</v>
      </c>
      <c r="H136" s="28">
        <f>H135</f>
        <v>4158.666666666667</v>
      </c>
      <c r="I136" s="22">
        <v>0.32</v>
      </c>
      <c r="J136" s="23">
        <f t="shared" si="9"/>
        <v>1330.7733333333335</v>
      </c>
    </row>
    <row r="137" spans="2:10" ht="9.9499999999999993" customHeight="1">
      <c r="B137" s="20" t="s">
        <v>41</v>
      </c>
      <c r="C137" s="21"/>
      <c r="D137" s="110" t="s">
        <v>62</v>
      </c>
      <c r="E137" s="110"/>
      <c r="F137" s="110"/>
      <c r="G137" s="21" t="s">
        <v>36</v>
      </c>
      <c r="H137" s="28">
        <f>H129</f>
        <v>12476</v>
      </c>
      <c r="I137" s="22">
        <v>1.99</v>
      </c>
      <c r="J137" s="23">
        <f t="shared" si="9"/>
        <v>24827.24</v>
      </c>
    </row>
    <row r="138" spans="2:10" ht="9.9499999999999993" customHeight="1">
      <c r="B138" s="20" t="s">
        <v>42</v>
      </c>
      <c r="C138" s="21"/>
      <c r="D138" s="110" t="s">
        <v>63</v>
      </c>
      <c r="E138" s="110"/>
      <c r="F138" s="110"/>
      <c r="G138" s="21" t="s">
        <v>86</v>
      </c>
      <c r="H138" s="28">
        <f>H137*0.2</f>
        <v>2495.2000000000003</v>
      </c>
      <c r="I138" s="22">
        <v>9.19</v>
      </c>
      <c r="J138" s="23">
        <f t="shared" si="9"/>
        <v>22930.888000000003</v>
      </c>
    </row>
    <row r="139" spans="2:10" ht="9.9499999999999993" customHeight="1">
      <c r="B139" s="20" t="s">
        <v>43</v>
      </c>
      <c r="C139" s="21"/>
      <c r="D139" s="110" t="s">
        <v>64</v>
      </c>
      <c r="E139" s="110"/>
      <c r="F139" s="110"/>
      <c r="G139" s="21" t="s">
        <v>87</v>
      </c>
      <c r="H139" s="28">
        <f>H138*18</f>
        <v>44913.600000000006</v>
      </c>
      <c r="I139" s="22">
        <v>1.53</v>
      </c>
      <c r="J139" s="23">
        <f t="shared" si="9"/>
        <v>68717.808000000005</v>
      </c>
    </row>
    <row r="140" spans="2:10" ht="9.9499999999999993" customHeight="1">
      <c r="B140" s="20" t="s">
        <v>44</v>
      </c>
      <c r="C140" s="21"/>
      <c r="D140" s="110" t="s">
        <v>65</v>
      </c>
      <c r="E140" s="110"/>
      <c r="F140" s="110"/>
      <c r="G140" s="21" t="s">
        <v>86</v>
      </c>
      <c r="H140" s="28">
        <f>H133</f>
        <v>2495.2000000000003</v>
      </c>
      <c r="I140" s="22">
        <v>15.65</v>
      </c>
      <c r="J140" s="23">
        <f t="shared" si="9"/>
        <v>39049.880000000005</v>
      </c>
    </row>
    <row r="141" spans="2:10" ht="9.9499999999999993" customHeight="1">
      <c r="B141" s="20" t="s">
        <v>45</v>
      </c>
      <c r="C141" s="21"/>
      <c r="D141" s="110" t="s">
        <v>66</v>
      </c>
      <c r="E141" s="110"/>
      <c r="F141" s="110"/>
      <c r="G141" s="21" t="s">
        <v>36</v>
      </c>
      <c r="H141" s="28">
        <v>12476</v>
      </c>
      <c r="I141" s="22">
        <v>0.3</v>
      </c>
      <c r="J141" s="23">
        <f t="shared" si="9"/>
        <v>3742.7999999999997</v>
      </c>
    </row>
    <row r="142" spans="2:10" ht="9.9499999999999993" customHeight="1">
      <c r="B142" s="20" t="s">
        <v>46</v>
      </c>
      <c r="C142" s="21"/>
      <c r="D142" s="110" t="s">
        <v>67</v>
      </c>
      <c r="E142" s="110"/>
      <c r="F142" s="110"/>
      <c r="G142" s="21" t="s">
        <v>15</v>
      </c>
      <c r="H142" s="28">
        <f>H141/1000*1.2</f>
        <v>14.9712</v>
      </c>
      <c r="I142" s="22">
        <v>2496</v>
      </c>
      <c r="J142" s="23">
        <f t="shared" si="9"/>
        <v>37368.1152</v>
      </c>
    </row>
    <row r="143" spans="2:10" ht="9.9499999999999993" customHeight="1">
      <c r="B143" s="20" t="s">
        <v>47</v>
      </c>
      <c r="C143" s="21"/>
      <c r="D143" s="110" t="s">
        <v>68</v>
      </c>
      <c r="E143" s="110"/>
      <c r="F143" s="110"/>
      <c r="G143" s="21" t="s">
        <v>36</v>
      </c>
      <c r="H143" s="28">
        <f>H141</f>
        <v>12476</v>
      </c>
      <c r="I143" s="22">
        <v>4.26</v>
      </c>
      <c r="J143" s="23">
        <f t="shared" si="9"/>
        <v>53147.759999999995</v>
      </c>
    </row>
    <row r="144" spans="2:10" ht="9.9499999999999993" customHeight="1">
      <c r="B144" s="20" t="s">
        <v>48</v>
      </c>
      <c r="C144" s="21"/>
      <c r="D144" s="110" t="s">
        <v>69</v>
      </c>
      <c r="E144" s="110"/>
      <c r="F144" s="110"/>
      <c r="G144" s="21" t="s">
        <v>15</v>
      </c>
      <c r="H144" s="22">
        <f>H141/1000*2.8</f>
        <v>34.9328</v>
      </c>
      <c r="I144" s="22">
        <v>1320</v>
      </c>
      <c r="J144" s="23">
        <f t="shared" si="9"/>
        <v>46111.296000000002</v>
      </c>
    </row>
    <row r="145" spans="2:10" ht="9.9499999999999993" customHeight="1">
      <c r="B145" s="20" t="s">
        <v>49</v>
      </c>
      <c r="C145" s="21"/>
      <c r="D145" s="110" t="s">
        <v>70</v>
      </c>
      <c r="E145" s="110"/>
      <c r="F145" s="110"/>
      <c r="G145" s="21" t="s">
        <v>36</v>
      </c>
      <c r="H145" s="28">
        <f>H129</f>
        <v>12476</v>
      </c>
      <c r="I145" s="22">
        <v>3.94</v>
      </c>
      <c r="J145" s="23">
        <f t="shared" si="9"/>
        <v>49155.44</v>
      </c>
    </row>
    <row r="146" spans="2:10" ht="9.9499999999999993" customHeight="1">
      <c r="B146" s="20" t="s">
        <v>50</v>
      </c>
      <c r="C146" s="21"/>
      <c r="D146" s="110" t="s">
        <v>71</v>
      </c>
      <c r="E146" s="110"/>
      <c r="F146" s="110"/>
      <c r="G146" s="21" t="s">
        <v>15</v>
      </c>
      <c r="H146" s="22">
        <f>H145/1000*1.4</f>
        <v>17.4664</v>
      </c>
      <c r="I146" s="22">
        <v>1650</v>
      </c>
      <c r="J146" s="23">
        <f t="shared" si="9"/>
        <v>28819.56</v>
      </c>
    </row>
    <row r="147" spans="2:10" ht="9.9499999999999993" customHeight="1">
      <c r="B147" s="20" t="s">
        <v>51</v>
      </c>
      <c r="C147" s="21"/>
      <c r="D147" s="110" t="s">
        <v>72</v>
      </c>
      <c r="E147" s="110"/>
      <c r="F147" s="110"/>
      <c r="G147" s="21" t="s">
        <v>87</v>
      </c>
      <c r="H147" s="22">
        <f>0.024*H143*3+0.01*H145*3</f>
        <v>1272.5519999999999</v>
      </c>
      <c r="I147" s="22">
        <v>1.81</v>
      </c>
      <c r="J147" s="23">
        <f t="shared" si="9"/>
        <v>2303.3191200000001</v>
      </c>
    </row>
    <row r="148" spans="2:10" ht="9.9499999999999993" customHeight="1">
      <c r="B148" s="20" t="s">
        <v>52</v>
      </c>
      <c r="C148" s="21"/>
      <c r="D148" s="110" t="s">
        <v>73</v>
      </c>
      <c r="E148" s="110"/>
      <c r="F148" s="110"/>
      <c r="G148" s="21" t="s">
        <v>88</v>
      </c>
      <c r="H148" s="22">
        <f>(H142+H144+H146+H152)*3</f>
        <v>202.11119999999997</v>
      </c>
      <c r="I148" s="22">
        <v>2.7</v>
      </c>
      <c r="J148" s="23">
        <f t="shared" si="9"/>
        <v>545.70023999999989</v>
      </c>
    </row>
    <row r="149" spans="2:10" ht="9.9499999999999993" customHeight="1">
      <c r="B149" s="20" t="s">
        <v>53</v>
      </c>
      <c r="C149" s="21"/>
      <c r="D149" s="110" t="s">
        <v>74</v>
      </c>
      <c r="E149" s="110"/>
      <c r="F149" s="110"/>
      <c r="G149" s="21" t="s">
        <v>87</v>
      </c>
      <c r="H149" s="22">
        <f>H147/3*70</f>
        <v>29692.879999999997</v>
      </c>
      <c r="I149" s="22">
        <v>0.88</v>
      </c>
      <c r="J149" s="23">
        <f t="shared" si="9"/>
        <v>26129.734399999998</v>
      </c>
    </row>
    <row r="150" spans="2:10" ht="9.9499999999999993" customHeight="1">
      <c r="B150" s="20" t="s">
        <v>54</v>
      </c>
      <c r="C150" s="21"/>
      <c r="D150" s="110" t="s">
        <v>75</v>
      </c>
      <c r="E150" s="110"/>
      <c r="F150" s="110"/>
      <c r="G150" s="21" t="s">
        <v>86</v>
      </c>
      <c r="H150" s="22">
        <f>(H145-H141)*0.1*0.15</f>
        <v>0</v>
      </c>
      <c r="I150" s="22">
        <v>198.05</v>
      </c>
      <c r="J150" s="23">
        <f t="shared" si="9"/>
        <v>0</v>
      </c>
    </row>
    <row r="151" spans="2:10" ht="9.9499999999999993" customHeight="1">
      <c r="B151" s="20" t="s">
        <v>55</v>
      </c>
      <c r="C151" s="21"/>
      <c r="D151" s="110" t="s">
        <v>76</v>
      </c>
      <c r="E151" s="110"/>
      <c r="F151" s="110"/>
      <c r="G151" s="21" t="s">
        <v>86</v>
      </c>
      <c r="H151" s="22">
        <f>H150</f>
        <v>0</v>
      </c>
      <c r="I151" s="22">
        <v>141.91</v>
      </c>
      <c r="J151" s="23">
        <f t="shared" si="9"/>
        <v>0</v>
      </c>
    </row>
    <row r="152" spans="2:10" ht="9.9499999999999993" customHeight="1">
      <c r="B152" s="20" t="s">
        <v>56</v>
      </c>
      <c r="C152" s="21"/>
      <c r="D152" s="110" t="s">
        <v>127</v>
      </c>
      <c r="E152" s="110"/>
      <c r="F152" s="110"/>
      <c r="G152" s="21" t="s">
        <v>15</v>
      </c>
      <c r="H152" s="28">
        <f>H151*2.2*0.105</f>
        <v>0</v>
      </c>
      <c r="I152" s="22">
        <v>1350</v>
      </c>
      <c r="J152" s="23">
        <f t="shared" si="9"/>
        <v>0</v>
      </c>
    </row>
    <row r="153" spans="2:10" ht="9.9499999999999993" customHeight="1">
      <c r="B153" s="20" t="s">
        <v>57</v>
      </c>
      <c r="C153" s="21"/>
      <c r="D153" s="110" t="s">
        <v>77</v>
      </c>
      <c r="E153" s="110"/>
      <c r="F153" s="110"/>
      <c r="G153" s="21" t="s">
        <v>88</v>
      </c>
      <c r="H153" s="22">
        <f>H151*2.2*3</f>
        <v>0</v>
      </c>
      <c r="I153" s="22">
        <v>1.21</v>
      </c>
      <c r="J153" s="23">
        <f t="shared" si="9"/>
        <v>0</v>
      </c>
    </row>
    <row r="154" spans="2:10" ht="9.9499999999999993" customHeight="1">
      <c r="B154" s="20"/>
      <c r="C154" s="21"/>
      <c r="D154" s="96" t="s">
        <v>90</v>
      </c>
      <c r="E154" s="97"/>
      <c r="F154" s="98"/>
      <c r="G154" s="21"/>
      <c r="H154" s="22"/>
      <c r="I154" s="22"/>
      <c r="J154" s="36">
        <f>SUM(J133:J153)</f>
        <v>443862.31162666669</v>
      </c>
    </row>
    <row r="155" spans="2:10" ht="9.9499999999999993" customHeight="1">
      <c r="B155" s="20"/>
      <c r="C155" s="21"/>
      <c r="D155" s="99"/>
      <c r="E155" s="100"/>
      <c r="F155" s="101"/>
      <c r="G155" s="21"/>
      <c r="H155" s="22"/>
      <c r="I155" s="22"/>
      <c r="J155" s="23"/>
    </row>
    <row r="156" spans="2:10" ht="9.9499999999999993" customHeight="1">
      <c r="B156" s="26">
        <v>3</v>
      </c>
      <c r="C156" s="27"/>
      <c r="D156" s="111" t="s">
        <v>10</v>
      </c>
      <c r="E156" s="111"/>
      <c r="F156" s="111"/>
      <c r="G156" s="21"/>
      <c r="H156" s="22"/>
      <c r="I156" s="22"/>
      <c r="J156" s="23"/>
    </row>
    <row r="157" spans="2:10" ht="9.9499999999999993" customHeight="1">
      <c r="B157" s="20" t="s">
        <v>80</v>
      </c>
      <c r="C157" s="21"/>
      <c r="D157" s="110" t="s">
        <v>78</v>
      </c>
      <c r="E157" s="110"/>
      <c r="F157" s="110"/>
      <c r="G157" s="21" t="s">
        <v>11</v>
      </c>
      <c r="H157" s="28">
        <f>H129/7*2*0.15</f>
        <v>534.6857142857142</v>
      </c>
      <c r="I157" s="22">
        <v>25.47</v>
      </c>
      <c r="J157" s="23">
        <f t="shared" ref="J157" si="10">H157*I157</f>
        <v>13618.445142857139</v>
      </c>
    </row>
    <row r="158" spans="2:10" ht="9.9499999999999993" customHeight="1">
      <c r="B158" s="20"/>
      <c r="C158" s="21"/>
      <c r="D158" s="96" t="s">
        <v>91</v>
      </c>
      <c r="E158" s="97"/>
      <c r="F158" s="98"/>
      <c r="G158" s="21"/>
      <c r="H158" s="28">
        <f>H129/7/100*0.5</f>
        <v>8.911428571428571</v>
      </c>
      <c r="I158" s="22"/>
      <c r="J158" s="36">
        <f>SUM(J157:J157)</f>
        <v>13618.445142857139</v>
      </c>
    </row>
    <row r="159" spans="2:10" ht="9.9499999999999993" customHeight="1">
      <c r="B159" s="20"/>
      <c r="C159" s="21"/>
      <c r="D159" s="99"/>
      <c r="E159" s="100"/>
      <c r="F159" s="101"/>
      <c r="G159" s="21"/>
      <c r="H159" s="28"/>
      <c r="I159" s="22"/>
      <c r="J159" s="23"/>
    </row>
    <row r="160" spans="2:10" ht="9.9499999999999993" customHeight="1">
      <c r="B160" s="26">
        <v>4</v>
      </c>
      <c r="C160" s="27"/>
      <c r="D160" s="111" t="s">
        <v>12</v>
      </c>
      <c r="E160" s="111"/>
      <c r="F160" s="111"/>
      <c r="G160" s="21"/>
      <c r="H160" s="28"/>
      <c r="I160" s="22"/>
      <c r="J160" s="23"/>
    </row>
    <row r="161" spans="2:10" ht="9.9499999999999993" customHeight="1">
      <c r="B161" s="20" t="s">
        <v>82</v>
      </c>
      <c r="C161" s="21"/>
      <c r="D161" s="110" t="s">
        <v>84</v>
      </c>
      <c r="E161" s="110"/>
      <c r="F161" s="110"/>
      <c r="G161" s="21" t="s">
        <v>36</v>
      </c>
      <c r="H161" s="28">
        <v>374.28</v>
      </c>
      <c r="I161" s="22">
        <v>11.71</v>
      </c>
      <c r="J161" s="23">
        <f t="shared" ref="J161:J162" si="11">H161*I161</f>
        <v>4382.8188</v>
      </c>
    </row>
    <row r="162" spans="2:10" ht="9.9499999999999993" customHeight="1">
      <c r="B162" s="20" t="s">
        <v>83</v>
      </c>
      <c r="C162" s="21"/>
      <c r="D162" s="110" t="s">
        <v>85</v>
      </c>
      <c r="E162" s="110"/>
      <c r="F162" s="110"/>
      <c r="G162" s="21" t="s">
        <v>36</v>
      </c>
      <c r="H162" s="28">
        <v>7.49</v>
      </c>
      <c r="I162" s="22">
        <v>370.79</v>
      </c>
      <c r="J162" s="23">
        <f t="shared" si="11"/>
        <v>2777.2171000000003</v>
      </c>
    </row>
    <row r="163" spans="2:10" ht="9.9499999999999993" customHeight="1">
      <c r="B163" s="20"/>
      <c r="C163" s="21"/>
      <c r="D163" s="96" t="s">
        <v>92</v>
      </c>
      <c r="E163" s="97"/>
      <c r="F163" s="98"/>
      <c r="G163" s="21"/>
      <c r="H163" s="28"/>
      <c r="I163" s="22"/>
      <c r="J163" s="36">
        <f>SUM(J161:J162)</f>
        <v>7160.0359000000008</v>
      </c>
    </row>
    <row r="164" spans="2:10" ht="9.9499999999999993" customHeight="1">
      <c r="B164" s="20"/>
      <c r="C164" s="21"/>
      <c r="D164" s="96" t="s">
        <v>99</v>
      </c>
      <c r="E164" s="97"/>
      <c r="F164" s="98"/>
      <c r="G164" s="21"/>
      <c r="H164" s="22"/>
      <c r="I164" s="22"/>
      <c r="J164" s="36">
        <f>J130+J154+J158+J163</f>
        <v>470254.99266952387</v>
      </c>
    </row>
    <row r="165" spans="2:10" ht="9.9499999999999993" customHeight="1">
      <c r="B165" s="20"/>
      <c r="C165" s="21"/>
      <c r="D165" s="108"/>
      <c r="E165" s="108"/>
      <c r="F165" s="108"/>
      <c r="G165" s="21"/>
      <c r="H165" s="22"/>
      <c r="I165" s="22"/>
      <c r="J165" s="23"/>
    </row>
    <row r="166" spans="2:10" ht="20.100000000000001" customHeight="1">
      <c r="B166" s="95" t="s">
        <v>101</v>
      </c>
      <c r="C166" s="95"/>
      <c r="D166" s="95"/>
      <c r="E166" s="95"/>
      <c r="F166" s="95"/>
      <c r="G166" s="95"/>
      <c r="H166" s="95"/>
      <c r="I166" s="95"/>
      <c r="J166" s="95"/>
    </row>
    <row r="167" spans="2:10" ht="9.9499999999999993" customHeight="1">
      <c r="B167" s="35">
        <v>1</v>
      </c>
      <c r="C167" s="17"/>
      <c r="D167" s="109" t="s">
        <v>14</v>
      </c>
      <c r="E167" s="109"/>
      <c r="F167" s="109"/>
      <c r="G167" s="18"/>
      <c r="H167" s="18"/>
      <c r="I167" s="19"/>
      <c r="J167" s="18"/>
    </row>
    <row r="168" spans="2:10" ht="9.9499999999999993" customHeight="1">
      <c r="B168" s="20" t="s">
        <v>33</v>
      </c>
      <c r="C168" s="21" t="s">
        <v>34</v>
      </c>
      <c r="D168" s="110" t="s">
        <v>35</v>
      </c>
      <c r="E168" s="110"/>
      <c r="F168" s="110"/>
      <c r="G168" s="21" t="s">
        <v>36</v>
      </c>
      <c r="H168" s="28">
        <v>14464.1</v>
      </c>
      <c r="I168" s="22">
        <v>0.45</v>
      </c>
      <c r="J168" s="23">
        <f>H168*I168</f>
        <v>6508.8450000000003</v>
      </c>
    </row>
    <row r="169" spans="2:10" ht="9.9499999999999993" customHeight="1">
      <c r="B169" s="24"/>
      <c r="C169" s="25"/>
      <c r="D169" s="96" t="s">
        <v>89</v>
      </c>
      <c r="E169" s="97"/>
      <c r="F169" s="98"/>
      <c r="G169" s="25"/>
      <c r="H169" s="49"/>
      <c r="I169" s="25"/>
      <c r="J169" s="36">
        <f>J168</f>
        <v>6508.8450000000003</v>
      </c>
    </row>
    <row r="170" spans="2:10" ht="9.9499999999999993" customHeight="1">
      <c r="B170" s="24"/>
      <c r="C170" s="25"/>
      <c r="D170" s="112"/>
      <c r="E170" s="112"/>
      <c r="F170" s="112"/>
      <c r="G170" s="34"/>
      <c r="H170" s="49"/>
      <c r="I170" s="25"/>
      <c r="J170" s="24"/>
    </row>
    <row r="171" spans="2:10" ht="9.9499999999999993" customHeight="1">
      <c r="B171" s="26">
        <v>2</v>
      </c>
      <c r="C171" s="27"/>
      <c r="D171" s="111" t="s">
        <v>9</v>
      </c>
      <c r="E171" s="111"/>
      <c r="F171" s="111"/>
      <c r="G171" s="8"/>
      <c r="H171" s="49"/>
      <c r="I171" s="25"/>
      <c r="J171" s="24"/>
    </row>
    <row r="172" spans="2:10" ht="9.9499999999999993" customHeight="1">
      <c r="B172" s="20" t="s">
        <v>37</v>
      </c>
      <c r="C172" s="21">
        <v>40425</v>
      </c>
      <c r="D172" s="110" t="s">
        <v>58</v>
      </c>
      <c r="E172" s="110"/>
      <c r="F172" s="110"/>
      <c r="G172" s="21" t="s">
        <v>86</v>
      </c>
      <c r="H172" s="28">
        <f>H180*0.2</f>
        <v>2218</v>
      </c>
      <c r="I172" s="22">
        <v>5.9</v>
      </c>
      <c r="J172" s="23">
        <f t="shared" ref="J172:J192" si="12">H172*I172</f>
        <v>13086.2</v>
      </c>
    </row>
    <row r="173" spans="2:10" ht="9.9499999999999993" customHeight="1">
      <c r="B173" s="20" t="s">
        <v>38</v>
      </c>
      <c r="C173" s="21"/>
      <c r="D173" s="110" t="s">
        <v>59</v>
      </c>
      <c r="E173" s="110"/>
      <c r="F173" s="110"/>
      <c r="G173" s="21" t="s">
        <v>87</v>
      </c>
      <c r="H173" s="28">
        <f>H180*0.2*6</f>
        <v>13308</v>
      </c>
      <c r="I173" s="22">
        <v>1.57</v>
      </c>
      <c r="J173" s="23">
        <f t="shared" si="12"/>
        <v>20893.560000000001</v>
      </c>
    </row>
    <row r="174" spans="2:10" ht="9.9499999999999993" customHeight="1">
      <c r="B174" s="20" t="s">
        <v>39</v>
      </c>
      <c r="C174" s="21"/>
      <c r="D174" s="110" t="s">
        <v>60</v>
      </c>
      <c r="E174" s="110"/>
      <c r="F174" s="110"/>
      <c r="G174" s="21" t="s">
        <v>36</v>
      </c>
      <c r="H174" s="28">
        <f>H172/0.6</f>
        <v>3696.666666666667</v>
      </c>
      <c r="I174" s="22">
        <v>0.35</v>
      </c>
      <c r="J174" s="23">
        <f t="shared" si="12"/>
        <v>1293.8333333333333</v>
      </c>
    </row>
    <row r="175" spans="2:10" ht="9.9499999999999993" customHeight="1">
      <c r="B175" s="20" t="s">
        <v>40</v>
      </c>
      <c r="C175" s="21"/>
      <c r="D175" s="110" t="s">
        <v>61</v>
      </c>
      <c r="E175" s="110"/>
      <c r="F175" s="110"/>
      <c r="G175" s="21" t="s">
        <v>36</v>
      </c>
      <c r="H175" s="28">
        <f>H174</f>
        <v>3696.666666666667</v>
      </c>
      <c r="I175" s="22">
        <v>0.32</v>
      </c>
      <c r="J175" s="23">
        <f t="shared" si="12"/>
        <v>1182.9333333333334</v>
      </c>
    </row>
    <row r="176" spans="2:10" ht="9.9499999999999993" customHeight="1">
      <c r="B176" s="20" t="s">
        <v>41</v>
      </c>
      <c r="C176" s="21"/>
      <c r="D176" s="110" t="s">
        <v>62</v>
      </c>
      <c r="E176" s="110"/>
      <c r="F176" s="110"/>
      <c r="G176" s="21" t="s">
        <v>36</v>
      </c>
      <c r="H176" s="28">
        <f>H168</f>
        <v>14464.1</v>
      </c>
      <c r="I176" s="22">
        <v>1.99</v>
      </c>
      <c r="J176" s="23">
        <f t="shared" si="12"/>
        <v>28783.559000000001</v>
      </c>
    </row>
    <row r="177" spans="2:10" ht="9.9499999999999993" customHeight="1">
      <c r="B177" s="20" t="s">
        <v>42</v>
      </c>
      <c r="C177" s="21"/>
      <c r="D177" s="110" t="s">
        <v>63</v>
      </c>
      <c r="E177" s="110"/>
      <c r="F177" s="110"/>
      <c r="G177" s="21" t="s">
        <v>86</v>
      </c>
      <c r="H177" s="28">
        <f>H176*0.2</f>
        <v>2892.82</v>
      </c>
      <c r="I177" s="22">
        <v>9.19</v>
      </c>
      <c r="J177" s="23">
        <f t="shared" si="12"/>
        <v>26585.015800000001</v>
      </c>
    </row>
    <row r="178" spans="2:10" ht="9.9499999999999993" customHeight="1">
      <c r="B178" s="20" t="s">
        <v>43</v>
      </c>
      <c r="C178" s="21"/>
      <c r="D178" s="110" t="s">
        <v>64</v>
      </c>
      <c r="E178" s="110"/>
      <c r="F178" s="110"/>
      <c r="G178" s="21" t="s">
        <v>87</v>
      </c>
      <c r="H178" s="28">
        <f>H177*18</f>
        <v>52070.76</v>
      </c>
      <c r="I178" s="22">
        <v>1.53</v>
      </c>
      <c r="J178" s="23">
        <f t="shared" si="12"/>
        <v>79668.262800000011</v>
      </c>
    </row>
    <row r="179" spans="2:10" ht="9.9499999999999993" customHeight="1">
      <c r="B179" s="20" t="s">
        <v>44</v>
      </c>
      <c r="C179" s="21"/>
      <c r="D179" s="110" t="s">
        <v>65</v>
      </c>
      <c r="E179" s="110"/>
      <c r="F179" s="110"/>
      <c r="G179" s="21" t="s">
        <v>86</v>
      </c>
      <c r="H179" s="28">
        <f>H172</f>
        <v>2218</v>
      </c>
      <c r="I179" s="22">
        <v>15.65</v>
      </c>
      <c r="J179" s="23">
        <f t="shared" si="12"/>
        <v>34711.700000000004</v>
      </c>
    </row>
    <row r="180" spans="2:10" ht="9.9499999999999993" customHeight="1">
      <c r="B180" s="20" t="s">
        <v>45</v>
      </c>
      <c r="C180" s="21"/>
      <c r="D180" s="110" t="s">
        <v>66</v>
      </c>
      <c r="E180" s="110"/>
      <c r="F180" s="110"/>
      <c r="G180" s="21" t="s">
        <v>36</v>
      </c>
      <c r="H180" s="28">
        <v>11090</v>
      </c>
      <c r="I180" s="22">
        <v>0.3</v>
      </c>
      <c r="J180" s="23">
        <f t="shared" si="12"/>
        <v>3327</v>
      </c>
    </row>
    <row r="181" spans="2:10" ht="9.9499999999999993" customHeight="1">
      <c r="B181" s="20" t="s">
        <v>46</v>
      </c>
      <c r="C181" s="21"/>
      <c r="D181" s="110" t="s">
        <v>67</v>
      </c>
      <c r="E181" s="110"/>
      <c r="F181" s="110"/>
      <c r="G181" s="21" t="s">
        <v>15</v>
      </c>
      <c r="H181" s="28">
        <f>H180/1000*1.2</f>
        <v>13.308</v>
      </c>
      <c r="I181" s="22">
        <v>2496</v>
      </c>
      <c r="J181" s="23">
        <f t="shared" si="12"/>
        <v>33216.767999999996</v>
      </c>
    </row>
    <row r="182" spans="2:10" ht="9.9499999999999993" customHeight="1">
      <c r="B182" s="20" t="s">
        <v>47</v>
      </c>
      <c r="C182" s="21"/>
      <c r="D182" s="110" t="s">
        <v>68</v>
      </c>
      <c r="E182" s="110"/>
      <c r="F182" s="110"/>
      <c r="G182" s="21" t="s">
        <v>36</v>
      </c>
      <c r="H182" s="28">
        <f>H180</f>
        <v>11090</v>
      </c>
      <c r="I182" s="22">
        <v>4.26</v>
      </c>
      <c r="J182" s="23">
        <f t="shared" si="12"/>
        <v>47243.399999999994</v>
      </c>
    </row>
    <row r="183" spans="2:10" ht="9.9499999999999993" customHeight="1">
      <c r="B183" s="20" t="s">
        <v>48</v>
      </c>
      <c r="C183" s="21"/>
      <c r="D183" s="110" t="s">
        <v>69</v>
      </c>
      <c r="E183" s="110"/>
      <c r="F183" s="110"/>
      <c r="G183" s="21" t="s">
        <v>15</v>
      </c>
      <c r="H183" s="22">
        <f>H180/1000*2.8</f>
        <v>31.051999999999996</v>
      </c>
      <c r="I183" s="22">
        <v>1320</v>
      </c>
      <c r="J183" s="23">
        <f t="shared" si="12"/>
        <v>40988.639999999992</v>
      </c>
    </row>
    <row r="184" spans="2:10" ht="9.9499999999999993" customHeight="1">
      <c r="B184" s="20" t="s">
        <v>49</v>
      </c>
      <c r="C184" s="21"/>
      <c r="D184" s="110" t="s">
        <v>70</v>
      </c>
      <c r="E184" s="110"/>
      <c r="F184" s="110"/>
      <c r="G184" s="21" t="s">
        <v>36</v>
      </c>
      <c r="H184" s="28">
        <f>H168</f>
        <v>14464.1</v>
      </c>
      <c r="I184" s="22">
        <v>3.94</v>
      </c>
      <c r="J184" s="23">
        <f t="shared" si="12"/>
        <v>56988.554000000004</v>
      </c>
    </row>
    <row r="185" spans="2:10" ht="9.9499999999999993" customHeight="1">
      <c r="B185" s="20" t="s">
        <v>50</v>
      </c>
      <c r="C185" s="21"/>
      <c r="D185" s="110" t="s">
        <v>71</v>
      </c>
      <c r="E185" s="110"/>
      <c r="F185" s="110"/>
      <c r="G185" s="21" t="s">
        <v>15</v>
      </c>
      <c r="H185" s="22">
        <f>H184/1000*1.4</f>
        <v>20.249739999999999</v>
      </c>
      <c r="I185" s="22">
        <v>1650</v>
      </c>
      <c r="J185" s="23">
        <f t="shared" si="12"/>
        <v>33412.070999999996</v>
      </c>
    </row>
    <row r="186" spans="2:10" ht="9.9499999999999993" customHeight="1">
      <c r="B186" s="20" t="s">
        <v>51</v>
      </c>
      <c r="C186" s="21"/>
      <c r="D186" s="110" t="s">
        <v>72</v>
      </c>
      <c r="E186" s="110"/>
      <c r="F186" s="110"/>
      <c r="G186" s="21" t="s">
        <v>87</v>
      </c>
      <c r="H186" s="22">
        <f>0.024*H182*3+0.01*H184*3</f>
        <v>1232.403</v>
      </c>
      <c r="I186" s="22">
        <v>1.81</v>
      </c>
      <c r="J186" s="23">
        <f t="shared" si="12"/>
        <v>2230.6494299999999</v>
      </c>
    </row>
    <row r="187" spans="2:10" ht="9.9499999999999993" customHeight="1">
      <c r="B187" s="20" t="s">
        <v>52</v>
      </c>
      <c r="C187" s="21"/>
      <c r="D187" s="110" t="s">
        <v>73</v>
      </c>
      <c r="E187" s="110"/>
      <c r="F187" s="110"/>
      <c r="G187" s="21" t="s">
        <v>88</v>
      </c>
      <c r="H187" s="22">
        <f>(H181+H183+H185+H191)*3</f>
        <v>228.90298950000005</v>
      </c>
      <c r="I187" s="22">
        <v>2.7</v>
      </c>
      <c r="J187" s="23">
        <f t="shared" si="12"/>
        <v>618.03807165000012</v>
      </c>
    </row>
    <row r="188" spans="2:10" ht="9.9499999999999993" customHeight="1">
      <c r="B188" s="20" t="s">
        <v>53</v>
      </c>
      <c r="C188" s="21"/>
      <c r="D188" s="110" t="s">
        <v>74</v>
      </c>
      <c r="E188" s="110"/>
      <c r="F188" s="110"/>
      <c r="G188" s="21" t="s">
        <v>87</v>
      </c>
      <c r="H188" s="22">
        <f>H186/3*70</f>
        <v>28756.07</v>
      </c>
      <c r="I188" s="22">
        <v>0.88</v>
      </c>
      <c r="J188" s="23">
        <f t="shared" si="12"/>
        <v>25305.3416</v>
      </c>
    </row>
    <row r="189" spans="2:10" ht="9.9499999999999993" customHeight="1">
      <c r="B189" s="20" t="s">
        <v>54</v>
      </c>
      <c r="C189" s="21"/>
      <c r="D189" s="110" t="s">
        <v>75</v>
      </c>
      <c r="E189" s="110"/>
      <c r="F189" s="110"/>
      <c r="G189" s="21" t="s">
        <v>86</v>
      </c>
      <c r="H189" s="22">
        <f>(H184-H180)*0.1*0.15</f>
        <v>50.611500000000014</v>
      </c>
      <c r="I189" s="22">
        <v>198.05</v>
      </c>
      <c r="J189" s="23">
        <f t="shared" si="12"/>
        <v>10023.607575000004</v>
      </c>
    </row>
    <row r="190" spans="2:10" ht="9.9499999999999993" customHeight="1">
      <c r="B190" s="20" t="s">
        <v>55</v>
      </c>
      <c r="C190" s="21"/>
      <c r="D190" s="110" t="s">
        <v>76</v>
      </c>
      <c r="E190" s="110"/>
      <c r="F190" s="110"/>
      <c r="G190" s="21" t="s">
        <v>86</v>
      </c>
      <c r="H190" s="22">
        <f>H189</f>
        <v>50.611500000000014</v>
      </c>
      <c r="I190" s="22">
        <v>141.91</v>
      </c>
      <c r="J190" s="23">
        <f t="shared" si="12"/>
        <v>7182.277965000002</v>
      </c>
    </row>
    <row r="191" spans="2:10" ht="9.9499999999999993" customHeight="1">
      <c r="B191" s="20" t="s">
        <v>56</v>
      </c>
      <c r="C191" s="21"/>
      <c r="D191" s="110" t="s">
        <v>127</v>
      </c>
      <c r="E191" s="110"/>
      <c r="F191" s="110"/>
      <c r="G191" s="21" t="s">
        <v>15</v>
      </c>
      <c r="H191" s="28">
        <f>H190*2.2*0.105</f>
        <v>11.691256500000003</v>
      </c>
      <c r="I191" s="22">
        <v>1350</v>
      </c>
      <c r="J191" s="23">
        <f t="shared" si="12"/>
        <v>15783.196275000004</v>
      </c>
    </row>
    <row r="192" spans="2:10" ht="9.9499999999999993" customHeight="1">
      <c r="B192" s="20" t="s">
        <v>57</v>
      </c>
      <c r="C192" s="21"/>
      <c r="D192" s="110" t="s">
        <v>77</v>
      </c>
      <c r="E192" s="110"/>
      <c r="F192" s="110"/>
      <c r="G192" s="21" t="s">
        <v>88</v>
      </c>
      <c r="H192" s="22">
        <f>H190*2.2*3</f>
        <v>334.03590000000008</v>
      </c>
      <c r="I192" s="22">
        <v>1.21</v>
      </c>
      <c r="J192" s="23">
        <f t="shared" si="12"/>
        <v>404.18343900000008</v>
      </c>
    </row>
    <row r="193" spans="2:10" ht="9.9499999999999993" customHeight="1">
      <c r="B193" s="20"/>
      <c r="C193" s="21"/>
      <c r="D193" s="96" t="s">
        <v>90</v>
      </c>
      <c r="E193" s="97"/>
      <c r="F193" s="98"/>
      <c r="G193" s="21"/>
      <c r="H193" s="22"/>
      <c r="I193" s="22"/>
      <c r="J193" s="36">
        <f>SUM(J172:J192)</f>
        <v>482928.79162231676</v>
      </c>
    </row>
    <row r="194" spans="2:10" ht="9.9499999999999993" customHeight="1">
      <c r="B194" s="20"/>
      <c r="C194" s="21"/>
      <c r="D194" s="99"/>
      <c r="E194" s="100"/>
      <c r="F194" s="101"/>
      <c r="G194" s="21"/>
      <c r="H194" s="22"/>
      <c r="I194" s="22"/>
      <c r="J194" s="23"/>
    </row>
    <row r="195" spans="2:10" ht="9.9499999999999993" customHeight="1">
      <c r="B195" s="26">
        <v>3</v>
      </c>
      <c r="C195" s="27"/>
      <c r="D195" s="111" t="s">
        <v>10</v>
      </c>
      <c r="E195" s="111"/>
      <c r="F195" s="111"/>
      <c r="G195" s="21"/>
      <c r="H195" s="22"/>
      <c r="I195" s="22"/>
      <c r="J195" s="23"/>
    </row>
    <row r="196" spans="2:10" ht="9.9499999999999993" customHeight="1">
      <c r="B196" s="20" t="s">
        <v>80</v>
      </c>
      <c r="C196" s="21"/>
      <c r="D196" s="110" t="s">
        <v>78</v>
      </c>
      <c r="E196" s="110"/>
      <c r="F196" s="110"/>
      <c r="G196" s="21" t="s">
        <v>11</v>
      </c>
      <c r="H196" s="28">
        <f>H168/7*2*0.15</f>
        <v>619.89</v>
      </c>
      <c r="I196" s="22">
        <v>25.47</v>
      </c>
      <c r="J196" s="23">
        <f t="shared" ref="J196:J197" si="13">H196*I196</f>
        <v>15788.5983</v>
      </c>
    </row>
    <row r="197" spans="2:10" ht="9.9499999999999993" customHeight="1">
      <c r="B197" s="20" t="s">
        <v>81</v>
      </c>
      <c r="C197" s="21"/>
      <c r="D197" s="110" t="s">
        <v>79</v>
      </c>
      <c r="E197" s="110"/>
      <c r="F197" s="110"/>
      <c r="G197" s="21" t="s">
        <v>86</v>
      </c>
      <c r="H197" s="28">
        <f>H168/7/100*0.5</f>
        <v>10.3315</v>
      </c>
      <c r="I197" s="22">
        <v>41.13</v>
      </c>
      <c r="J197" s="23">
        <f t="shared" si="13"/>
        <v>424.93459500000006</v>
      </c>
    </row>
    <row r="198" spans="2:10" ht="9.9499999999999993" customHeight="1">
      <c r="B198" s="20"/>
      <c r="C198" s="21"/>
      <c r="D198" s="96" t="s">
        <v>91</v>
      </c>
      <c r="E198" s="97"/>
      <c r="F198" s="98"/>
      <c r="G198" s="21"/>
      <c r="H198" s="28"/>
      <c r="I198" s="22"/>
      <c r="J198" s="36">
        <f>SUM(J196:J197)</f>
        <v>16213.532895</v>
      </c>
    </row>
    <row r="199" spans="2:10" ht="9.9499999999999993" customHeight="1">
      <c r="B199" s="20"/>
      <c r="C199" s="21"/>
      <c r="D199" s="99"/>
      <c r="E199" s="100"/>
      <c r="F199" s="101"/>
      <c r="G199" s="21"/>
      <c r="H199" s="28"/>
      <c r="I199" s="22"/>
      <c r="J199" s="23"/>
    </row>
    <row r="200" spans="2:10" ht="9.9499999999999993" customHeight="1">
      <c r="B200" s="26">
        <v>4</v>
      </c>
      <c r="C200" s="27"/>
      <c r="D200" s="111" t="s">
        <v>12</v>
      </c>
      <c r="E200" s="111"/>
      <c r="F200" s="111"/>
      <c r="G200" s="21"/>
      <c r="H200" s="28"/>
      <c r="I200" s="22"/>
      <c r="J200" s="23"/>
    </row>
    <row r="201" spans="2:10" ht="9.9499999999999993" customHeight="1">
      <c r="B201" s="20" t="s">
        <v>82</v>
      </c>
      <c r="C201" s="21"/>
      <c r="D201" s="110" t="s">
        <v>84</v>
      </c>
      <c r="E201" s="110"/>
      <c r="F201" s="110"/>
      <c r="G201" s="21" t="s">
        <v>36</v>
      </c>
      <c r="H201" s="28">
        <v>433.92</v>
      </c>
      <c r="I201" s="22">
        <v>11.71</v>
      </c>
      <c r="J201" s="23">
        <f t="shared" ref="J201:J202" si="14">H201*I201</f>
        <v>5081.2032000000008</v>
      </c>
    </row>
    <row r="202" spans="2:10" ht="9.9499999999999993" customHeight="1">
      <c r="B202" s="20" t="s">
        <v>83</v>
      </c>
      <c r="C202" s="21"/>
      <c r="D202" s="110" t="s">
        <v>85</v>
      </c>
      <c r="E202" s="110"/>
      <c r="F202" s="110"/>
      <c r="G202" s="21" t="s">
        <v>36</v>
      </c>
      <c r="H202" s="28">
        <v>8.68</v>
      </c>
      <c r="I202" s="22">
        <v>370.79</v>
      </c>
      <c r="J202" s="23">
        <f t="shared" si="14"/>
        <v>3218.4572000000003</v>
      </c>
    </row>
    <row r="203" spans="2:10" ht="9.9499999999999993" customHeight="1">
      <c r="B203" s="20"/>
      <c r="C203" s="21"/>
      <c r="D203" s="96" t="s">
        <v>92</v>
      </c>
      <c r="E203" s="97"/>
      <c r="F203" s="98"/>
      <c r="G203" s="21"/>
      <c r="H203" s="28"/>
      <c r="I203" s="22"/>
      <c r="J203" s="36">
        <f>SUM(J201:J202)</f>
        <v>8299.6604000000007</v>
      </c>
    </row>
    <row r="204" spans="2:10" ht="9.9499999999999993" customHeight="1">
      <c r="B204" s="20"/>
      <c r="C204" s="21"/>
      <c r="D204" s="96" t="s">
        <v>100</v>
      </c>
      <c r="E204" s="97"/>
      <c r="F204" s="98"/>
      <c r="G204" s="21"/>
      <c r="H204" s="22"/>
      <c r="I204" s="22"/>
      <c r="J204" s="36">
        <f>J169+J193+J198+J203</f>
        <v>513950.82991731673</v>
      </c>
    </row>
    <row r="205" spans="2:10" ht="9.9499999999999993" customHeight="1">
      <c r="B205" s="20"/>
      <c r="C205" s="21"/>
      <c r="D205" s="108"/>
      <c r="E205" s="108"/>
      <c r="F205" s="108"/>
      <c r="G205" s="21"/>
      <c r="H205" s="22"/>
      <c r="I205" s="22"/>
      <c r="J205" s="23"/>
    </row>
    <row r="206" spans="2:10" ht="20.100000000000001" customHeight="1">
      <c r="B206" s="95" t="s">
        <v>102</v>
      </c>
      <c r="C206" s="95"/>
      <c r="D206" s="95"/>
      <c r="E206" s="95"/>
      <c r="F206" s="95"/>
      <c r="G206" s="95"/>
      <c r="H206" s="95"/>
      <c r="I206" s="95"/>
      <c r="J206" s="95"/>
    </row>
    <row r="207" spans="2:10" ht="9.9499999999999993" customHeight="1">
      <c r="B207" s="35">
        <v>1</v>
      </c>
      <c r="C207" s="17"/>
      <c r="D207" s="109" t="s">
        <v>14</v>
      </c>
      <c r="E207" s="109"/>
      <c r="F207" s="109"/>
      <c r="G207" s="18"/>
      <c r="H207" s="18"/>
      <c r="I207" s="19"/>
      <c r="J207" s="18"/>
    </row>
    <row r="208" spans="2:10" ht="9.9499999999999993" customHeight="1">
      <c r="B208" s="20" t="s">
        <v>33</v>
      </c>
      <c r="C208" s="21" t="s">
        <v>34</v>
      </c>
      <c r="D208" s="110" t="s">
        <v>35</v>
      </c>
      <c r="E208" s="110"/>
      <c r="F208" s="110"/>
      <c r="G208" s="21" t="s">
        <v>36</v>
      </c>
      <c r="H208" s="28">
        <v>3779</v>
      </c>
      <c r="I208" s="22">
        <v>0.45</v>
      </c>
      <c r="J208" s="23">
        <f>H208*I208</f>
        <v>1700.55</v>
      </c>
    </row>
    <row r="209" spans="2:10" ht="9.9499999999999993" customHeight="1">
      <c r="B209" s="24"/>
      <c r="C209" s="25"/>
      <c r="D209" s="96" t="s">
        <v>89</v>
      </c>
      <c r="E209" s="97"/>
      <c r="F209" s="98"/>
      <c r="G209" s="25"/>
      <c r="H209" s="49"/>
      <c r="I209" s="25"/>
      <c r="J209" s="36">
        <f>J208</f>
        <v>1700.55</v>
      </c>
    </row>
    <row r="210" spans="2:10" ht="9.9499999999999993" customHeight="1">
      <c r="B210" s="24"/>
      <c r="C210" s="25"/>
      <c r="D210" s="112"/>
      <c r="E210" s="112"/>
      <c r="F210" s="112"/>
      <c r="G210" s="34"/>
      <c r="H210" s="49"/>
      <c r="I210" s="25"/>
      <c r="J210" s="24"/>
    </row>
    <row r="211" spans="2:10" ht="9.9499999999999993" customHeight="1">
      <c r="B211" s="26">
        <v>2</v>
      </c>
      <c r="C211" s="27"/>
      <c r="D211" s="111" t="s">
        <v>9</v>
      </c>
      <c r="E211" s="111"/>
      <c r="F211" s="111"/>
      <c r="G211" s="8"/>
      <c r="H211" s="49"/>
      <c r="I211" s="25"/>
      <c r="J211" s="24"/>
    </row>
    <row r="212" spans="2:10" ht="9.9499999999999993" customHeight="1">
      <c r="B212" s="20" t="s">
        <v>37</v>
      </c>
      <c r="C212" s="21">
        <v>40425</v>
      </c>
      <c r="D212" s="110" t="s">
        <v>58</v>
      </c>
      <c r="E212" s="110"/>
      <c r="F212" s="110"/>
      <c r="G212" s="21" t="s">
        <v>86</v>
      </c>
      <c r="H212" s="28">
        <f>H220*0.2</f>
        <v>755.80000000000007</v>
      </c>
      <c r="I212" s="22">
        <v>5.9</v>
      </c>
      <c r="J212" s="23">
        <f t="shared" ref="J212:J232" si="15">H212*I212</f>
        <v>4459.22</v>
      </c>
    </row>
    <row r="213" spans="2:10" ht="9.9499999999999993" customHeight="1">
      <c r="B213" s="20" t="s">
        <v>38</v>
      </c>
      <c r="C213" s="21"/>
      <c r="D213" s="110" t="s">
        <v>59</v>
      </c>
      <c r="E213" s="110"/>
      <c r="F213" s="110"/>
      <c r="G213" s="21" t="s">
        <v>87</v>
      </c>
      <c r="H213" s="28">
        <f>H220*0.2*6</f>
        <v>4534.8</v>
      </c>
      <c r="I213" s="22">
        <v>1.57</v>
      </c>
      <c r="J213" s="23">
        <f t="shared" si="15"/>
        <v>7119.6360000000004</v>
      </c>
    </row>
    <row r="214" spans="2:10" ht="9.9499999999999993" customHeight="1">
      <c r="B214" s="20" t="s">
        <v>39</v>
      </c>
      <c r="C214" s="21"/>
      <c r="D214" s="110" t="s">
        <v>60</v>
      </c>
      <c r="E214" s="110"/>
      <c r="F214" s="110"/>
      <c r="G214" s="21" t="s">
        <v>36</v>
      </c>
      <c r="H214" s="28">
        <f>H212/0.6</f>
        <v>1259.6666666666667</v>
      </c>
      <c r="I214" s="22">
        <v>0.35</v>
      </c>
      <c r="J214" s="23">
        <f t="shared" si="15"/>
        <v>440.88333333333333</v>
      </c>
    </row>
    <row r="215" spans="2:10" ht="9.9499999999999993" customHeight="1">
      <c r="B215" s="20" t="s">
        <v>40</v>
      </c>
      <c r="C215" s="21"/>
      <c r="D215" s="110" t="s">
        <v>61</v>
      </c>
      <c r="E215" s="110"/>
      <c r="F215" s="110"/>
      <c r="G215" s="21" t="s">
        <v>36</v>
      </c>
      <c r="H215" s="28">
        <f>H214</f>
        <v>1259.6666666666667</v>
      </c>
      <c r="I215" s="22">
        <v>0.32</v>
      </c>
      <c r="J215" s="23">
        <f t="shared" si="15"/>
        <v>403.09333333333336</v>
      </c>
    </row>
    <row r="216" spans="2:10" ht="9.9499999999999993" customHeight="1">
      <c r="B216" s="20" t="s">
        <v>41</v>
      </c>
      <c r="C216" s="21"/>
      <c r="D216" s="110" t="s">
        <v>62</v>
      </c>
      <c r="E216" s="110"/>
      <c r="F216" s="110"/>
      <c r="G216" s="21" t="s">
        <v>36</v>
      </c>
      <c r="H216" s="28">
        <f>H208</f>
        <v>3779</v>
      </c>
      <c r="I216" s="22">
        <v>1.99</v>
      </c>
      <c r="J216" s="23">
        <f t="shared" si="15"/>
        <v>7520.21</v>
      </c>
    </row>
    <row r="217" spans="2:10" ht="9.9499999999999993" customHeight="1">
      <c r="B217" s="20" t="s">
        <v>42</v>
      </c>
      <c r="C217" s="21"/>
      <c r="D217" s="110" t="s">
        <v>63</v>
      </c>
      <c r="E217" s="110"/>
      <c r="F217" s="110"/>
      <c r="G217" s="21" t="s">
        <v>86</v>
      </c>
      <c r="H217" s="28">
        <f>H216*0.2</f>
        <v>755.80000000000007</v>
      </c>
      <c r="I217" s="22">
        <v>9.19</v>
      </c>
      <c r="J217" s="23">
        <f t="shared" si="15"/>
        <v>6945.8020000000006</v>
      </c>
    </row>
    <row r="218" spans="2:10" ht="9.9499999999999993" customHeight="1">
      <c r="B218" s="20" t="s">
        <v>43</v>
      </c>
      <c r="C218" s="21"/>
      <c r="D218" s="110" t="s">
        <v>64</v>
      </c>
      <c r="E218" s="110"/>
      <c r="F218" s="110"/>
      <c r="G218" s="21" t="s">
        <v>87</v>
      </c>
      <c r="H218" s="28">
        <f>H217*18</f>
        <v>13604.400000000001</v>
      </c>
      <c r="I218" s="22">
        <v>1.53</v>
      </c>
      <c r="J218" s="23">
        <f t="shared" si="15"/>
        <v>20814.732000000004</v>
      </c>
    </row>
    <row r="219" spans="2:10" ht="9.9499999999999993" customHeight="1">
      <c r="B219" s="20" t="s">
        <v>44</v>
      </c>
      <c r="C219" s="21"/>
      <c r="D219" s="110" t="s">
        <v>65</v>
      </c>
      <c r="E219" s="110"/>
      <c r="F219" s="110"/>
      <c r="G219" s="21" t="s">
        <v>86</v>
      </c>
      <c r="H219" s="28">
        <f>H212</f>
        <v>755.80000000000007</v>
      </c>
      <c r="I219" s="22">
        <v>15.65</v>
      </c>
      <c r="J219" s="23">
        <f t="shared" si="15"/>
        <v>11828.27</v>
      </c>
    </row>
    <row r="220" spans="2:10" ht="9.9499999999999993" customHeight="1">
      <c r="B220" s="20" t="s">
        <v>45</v>
      </c>
      <c r="C220" s="21"/>
      <c r="D220" s="110" t="s">
        <v>66</v>
      </c>
      <c r="E220" s="110"/>
      <c r="F220" s="110"/>
      <c r="G220" s="21" t="s">
        <v>36</v>
      </c>
      <c r="H220" s="28">
        <v>3779</v>
      </c>
      <c r="I220" s="22">
        <v>0.3</v>
      </c>
      <c r="J220" s="23">
        <f t="shared" si="15"/>
        <v>1133.7</v>
      </c>
    </row>
    <row r="221" spans="2:10" ht="9.9499999999999993" customHeight="1">
      <c r="B221" s="20" t="s">
        <v>46</v>
      </c>
      <c r="C221" s="21"/>
      <c r="D221" s="110" t="s">
        <v>67</v>
      </c>
      <c r="E221" s="110"/>
      <c r="F221" s="110"/>
      <c r="G221" s="21" t="s">
        <v>15</v>
      </c>
      <c r="H221" s="28">
        <f>H220/1000*1.2</f>
        <v>4.5347999999999997</v>
      </c>
      <c r="I221" s="22">
        <v>2496</v>
      </c>
      <c r="J221" s="23">
        <f t="shared" si="15"/>
        <v>11318.860799999999</v>
      </c>
    </row>
    <row r="222" spans="2:10" ht="9.9499999999999993" customHeight="1">
      <c r="B222" s="20" t="s">
        <v>47</v>
      </c>
      <c r="C222" s="21"/>
      <c r="D222" s="110" t="s">
        <v>68</v>
      </c>
      <c r="E222" s="110"/>
      <c r="F222" s="110"/>
      <c r="G222" s="21" t="s">
        <v>36</v>
      </c>
      <c r="H222" s="28">
        <f>H220</f>
        <v>3779</v>
      </c>
      <c r="I222" s="22">
        <v>4.26</v>
      </c>
      <c r="J222" s="23">
        <f t="shared" si="15"/>
        <v>16098.539999999999</v>
      </c>
    </row>
    <row r="223" spans="2:10" ht="9.9499999999999993" customHeight="1">
      <c r="B223" s="20" t="s">
        <v>48</v>
      </c>
      <c r="C223" s="21"/>
      <c r="D223" s="110" t="s">
        <v>69</v>
      </c>
      <c r="E223" s="110"/>
      <c r="F223" s="110"/>
      <c r="G223" s="21" t="s">
        <v>15</v>
      </c>
      <c r="H223" s="22">
        <f>H220/1000*2.8</f>
        <v>10.581199999999999</v>
      </c>
      <c r="I223" s="22">
        <v>1320</v>
      </c>
      <c r="J223" s="23">
        <f t="shared" si="15"/>
        <v>13967.183999999999</v>
      </c>
    </row>
    <row r="224" spans="2:10" ht="9.9499999999999993" customHeight="1">
      <c r="B224" s="20" t="s">
        <v>49</v>
      </c>
      <c r="C224" s="21"/>
      <c r="D224" s="110" t="s">
        <v>70</v>
      </c>
      <c r="E224" s="110"/>
      <c r="F224" s="110"/>
      <c r="G224" s="21" t="s">
        <v>36</v>
      </c>
      <c r="H224" s="28">
        <f>H208</f>
        <v>3779</v>
      </c>
      <c r="I224" s="22">
        <v>3.94</v>
      </c>
      <c r="J224" s="23">
        <f t="shared" si="15"/>
        <v>14889.26</v>
      </c>
    </row>
    <row r="225" spans="2:11" ht="9.9499999999999993" customHeight="1">
      <c r="B225" s="20" t="s">
        <v>50</v>
      </c>
      <c r="C225" s="21"/>
      <c r="D225" s="110" t="s">
        <v>71</v>
      </c>
      <c r="E225" s="110"/>
      <c r="F225" s="110"/>
      <c r="G225" s="21" t="s">
        <v>15</v>
      </c>
      <c r="H225" s="22">
        <f>H224/1000*1.4</f>
        <v>5.2905999999999995</v>
      </c>
      <c r="I225" s="22">
        <v>1650</v>
      </c>
      <c r="J225" s="23">
        <f t="shared" si="15"/>
        <v>8729.49</v>
      </c>
    </row>
    <row r="226" spans="2:11" ht="9.9499999999999993" customHeight="1">
      <c r="B226" s="20" t="s">
        <v>51</v>
      </c>
      <c r="C226" s="21"/>
      <c r="D226" s="110" t="s">
        <v>72</v>
      </c>
      <c r="E226" s="110"/>
      <c r="F226" s="110"/>
      <c r="G226" s="21" t="s">
        <v>87</v>
      </c>
      <c r="H226" s="22">
        <f>0.024*H222*3+0.01*H224*3</f>
        <v>385.45799999999997</v>
      </c>
      <c r="I226" s="22">
        <v>1.81</v>
      </c>
      <c r="J226" s="23">
        <f t="shared" si="15"/>
        <v>697.67897999999991</v>
      </c>
    </row>
    <row r="227" spans="2:11" ht="9.9499999999999993" customHeight="1">
      <c r="B227" s="20" t="s">
        <v>52</v>
      </c>
      <c r="C227" s="21"/>
      <c r="D227" s="110" t="s">
        <v>73</v>
      </c>
      <c r="E227" s="110"/>
      <c r="F227" s="110"/>
      <c r="G227" s="21" t="s">
        <v>88</v>
      </c>
      <c r="H227" s="22">
        <f>(H221+H223+H225+H231)*3</f>
        <v>61.219799999999992</v>
      </c>
      <c r="I227" s="22">
        <v>2.7</v>
      </c>
      <c r="J227" s="23">
        <f t="shared" si="15"/>
        <v>165.29345999999998</v>
      </c>
    </row>
    <row r="228" spans="2:11" ht="9.9499999999999993" customHeight="1">
      <c r="B228" s="20" t="s">
        <v>53</v>
      </c>
      <c r="C228" s="21"/>
      <c r="D228" s="110" t="s">
        <v>74</v>
      </c>
      <c r="E228" s="110"/>
      <c r="F228" s="110"/>
      <c r="G228" s="21" t="s">
        <v>87</v>
      </c>
      <c r="H228" s="22">
        <f>H226/3*70</f>
        <v>8994.0199999999986</v>
      </c>
      <c r="I228" s="22">
        <v>0.88</v>
      </c>
      <c r="J228" s="23">
        <f t="shared" si="15"/>
        <v>7914.7375999999986</v>
      </c>
    </row>
    <row r="229" spans="2:11" ht="9.9499999999999993" customHeight="1">
      <c r="B229" s="20" t="s">
        <v>54</v>
      </c>
      <c r="C229" s="21"/>
      <c r="D229" s="110" t="s">
        <v>75</v>
      </c>
      <c r="E229" s="110"/>
      <c r="F229" s="110"/>
      <c r="G229" s="21" t="s">
        <v>86</v>
      </c>
      <c r="H229" s="22">
        <f>(H224-H220)*0.1*0.15</f>
        <v>0</v>
      </c>
      <c r="I229" s="22">
        <v>198.05</v>
      </c>
      <c r="J229" s="23">
        <f t="shared" si="15"/>
        <v>0</v>
      </c>
    </row>
    <row r="230" spans="2:11" ht="9.9499999999999993" customHeight="1">
      <c r="B230" s="20" t="s">
        <v>55</v>
      </c>
      <c r="C230" s="21"/>
      <c r="D230" s="110" t="s">
        <v>76</v>
      </c>
      <c r="E230" s="110"/>
      <c r="F230" s="110"/>
      <c r="G230" s="21" t="s">
        <v>86</v>
      </c>
      <c r="H230" s="22">
        <f>H229</f>
        <v>0</v>
      </c>
      <c r="I230" s="22">
        <v>141.91</v>
      </c>
      <c r="J230" s="23">
        <f t="shared" si="15"/>
        <v>0</v>
      </c>
    </row>
    <row r="231" spans="2:11" ht="9.9499999999999993" customHeight="1">
      <c r="B231" s="20" t="s">
        <v>56</v>
      </c>
      <c r="C231" s="21"/>
      <c r="D231" s="110" t="s">
        <v>127</v>
      </c>
      <c r="E231" s="110"/>
      <c r="F231" s="110"/>
      <c r="G231" s="21" t="s">
        <v>15</v>
      </c>
      <c r="H231" s="28">
        <f>H230*2.2*0.105</f>
        <v>0</v>
      </c>
      <c r="I231" s="22">
        <v>1350</v>
      </c>
      <c r="J231" s="23">
        <f t="shared" si="15"/>
        <v>0</v>
      </c>
    </row>
    <row r="232" spans="2:11" ht="9.9499999999999993" customHeight="1">
      <c r="B232" s="20" t="s">
        <v>57</v>
      </c>
      <c r="C232" s="21"/>
      <c r="D232" s="110" t="s">
        <v>77</v>
      </c>
      <c r="E232" s="110"/>
      <c r="F232" s="110"/>
      <c r="G232" s="21" t="s">
        <v>88</v>
      </c>
      <c r="H232" s="22">
        <f>H230*2.2*3</f>
        <v>0</v>
      </c>
      <c r="I232" s="22">
        <v>1.21</v>
      </c>
      <c r="J232" s="23">
        <f t="shared" si="15"/>
        <v>0</v>
      </c>
    </row>
    <row r="233" spans="2:11" ht="9.9499999999999993" customHeight="1">
      <c r="B233" s="20"/>
      <c r="C233" s="21"/>
      <c r="D233" s="96" t="s">
        <v>90</v>
      </c>
      <c r="E233" s="97"/>
      <c r="F233" s="98"/>
      <c r="G233" s="21"/>
      <c r="H233" s="22"/>
      <c r="I233" s="22"/>
      <c r="J233" s="36">
        <f>SUM(J212:J232)</f>
        <v>134446.59150666665</v>
      </c>
    </row>
    <row r="234" spans="2:11" ht="9.9499999999999993" customHeight="1">
      <c r="B234" s="20"/>
      <c r="C234" s="21"/>
      <c r="D234" s="99"/>
      <c r="E234" s="100"/>
      <c r="F234" s="101"/>
      <c r="G234" s="21"/>
      <c r="H234" s="22"/>
      <c r="I234" s="22"/>
      <c r="J234" s="23"/>
      <c r="K234" s="90">
        <f>3779+14464.1+12476+30258+135480.38+53542.52</f>
        <v>250000</v>
      </c>
    </row>
    <row r="235" spans="2:11" ht="9.9499999999999993" customHeight="1">
      <c r="B235" s="26">
        <v>3</v>
      </c>
      <c r="C235" s="27"/>
      <c r="D235" s="111" t="s">
        <v>10</v>
      </c>
      <c r="E235" s="111"/>
      <c r="F235" s="111"/>
      <c r="G235" s="21"/>
      <c r="H235" s="22"/>
      <c r="I235" s="22"/>
      <c r="J235" s="23"/>
    </row>
    <row r="236" spans="2:11" ht="9.9499999999999993" customHeight="1">
      <c r="B236" s="20" t="s">
        <v>80</v>
      </c>
      <c r="C236" s="21"/>
      <c r="D236" s="110" t="s">
        <v>78</v>
      </c>
      <c r="E236" s="110"/>
      <c r="F236" s="110"/>
      <c r="G236" s="21" t="s">
        <v>11</v>
      </c>
      <c r="H236" s="28">
        <f>H208/7*2*0.15</f>
        <v>161.95714285714286</v>
      </c>
      <c r="I236" s="22">
        <v>25.47</v>
      </c>
      <c r="J236" s="23">
        <f t="shared" ref="J236:J237" si="16">H236*I236</f>
        <v>4125.0484285714283</v>
      </c>
    </row>
    <row r="237" spans="2:11" ht="9.9499999999999993" customHeight="1">
      <c r="B237" s="20" t="s">
        <v>81</v>
      </c>
      <c r="C237" s="21"/>
      <c r="D237" s="110" t="s">
        <v>79</v>
      </c>
      <c r="E237" s="110"/>
      <c r="F237" s="110"/>
      <c r="G237" s="21" t="s">
        <v>86</v>
      </c>
      <c r="H237" s="28">
        <f>H208/7/100*0.5</f>
        <v>2.6992857142857143</v>
      </c>
      <c r="I237" s="22">
        <v>41.13</v>
      </c>
      <c r="J237" s="23">
        <f t="shared" si="16"/>
        <v>111.02162142857144</v>
      </c>
    </row>
    <row r="238" spans="2:11" ht="9.9499999999999993" customHeight="1">
      <c r="B238" s="20"/>
      <c r="C238" s="21"/>
      <c r="D238" s="96" t="s">
        <v>91</v>
      </c>
      <c r="E238" s="97"/>
      <c r="F238" s="98"/>
      <c r="G238" s="21"/>
      <c r="H238" s="28"/>
      <c r="I238" s="22"/>
      <c r="J238" s="36">
        <f>SUM(J236:J237)</f>
        <v>4236.0700499999994</v>
      </c>
    </row>
    <row r="239" spans="2:11" ht="9.9499999999999993" customHeight="1">
      <c r="B239" s="20"/>
      <c r="C239" s="21"/>
      <c r="D239" s="99"/>
      <c r="E239" s="100"/>
      <c r="F239" s="101"/>
      <c r="G239" s="21"/>
      <c r="H239" s="28"/>
      <c r="I239" s="22"/>
      <c r="J239" s="23"/>
    </row>
    <row r="240" spans="2:11" ht="9.9499999999999993" customHeight="1">
      <c r="B240" s="26">
        <v>4</v>
      </c>
      <c r="C240" s="27"/>
      <c r="D240" s="111" t="s">
        <v>12</v>
      </c>
      <c r="E240" s="111"/>
      <c r="F240" s="111"/>
      <c r="G240" s="21"/>
      <c r="H240" s="28"/>
      <c r="I240" s="22"/>
      <c r="J240" s="23"/>
    </row>
    <row r="241" spans="2:12" ht="9.9499999999999993" customHeight="1">
      <c r="B241" s="20" t="s">
        <v>82</v>
      </c>
      <c r="C241" s="21"/>
      <c r="D241" s="110" t="s">
        <v>84</v>
      </c>
      <c r="E241" s="110"/>
      <c r="F241" s="110"/>
      <c r="G241" s="21" t="s">
        <v>36</v>
      </c>
      <c r="H241" s="28">
        <v>113.37</v>
      </c>
      <c r="I241" s="22">
        <v>11.71</v>
      </c>
      <c r="J241" s="23">
        <f t="shared" ref="J241:J242" si="17">H241*I241</f>
        <v>1327.5627000000002</v>
      </c>
    </row>
    <row r="242" spans="2:12" ht="9.9499999999999993" customHeight="1">
      <c r="B242" s="20" t="s">
        <v>83</v>
      </c>
      <c r="C242" s="21"/>
      <c r="D242" s="110" t="s">
        <v>85</v>
      </c>
      <c r="E242" s="110"/>
      <c r="F242" s="110"/>
      <c r="G242" s="21" t="s">
        <v>36</v>
      </c>
      <c r="H242" s="28">
        <v>2.27</v>
      </c>
      <c r="I242" s="22">
        <v>370.79</v>
      </c>
      <c r="J242" s="23">
        <f t="shared" si="17"/>
        <v>841.69330000000002</v>
      </c>
    </row>
    <row r="243" spans="2:12" ht="9.9499999999999993" customHeight="1">
      <c r="B243" s="20"/>
      <c r="C243" s="21"/>
      <c r="D243" s="96" t="s">
        <v>92</v>
      </c>
      <c r="E243" s="97"/>
      <c r="F243" s="98"/>
      <c r="G243" s="21"/>
      <c r="H243" s="22"/>
      <c r="I243" s="22"/>
      <c r="J243" s="36">
        <f>SUM(J241:J242)</f>
        <v>2169.2560000000003</v>
      </c>
    </row>
    <row r="244" spans="2:12" ht="9.9499999999999993" customHeight="1">
      <c r="B244" s="20"/>
      <c r="C244" s="21"/>
      <c r="D244" s="96" t="s">
        <v>103</v>
      </c>
      <c r="E244" s="97"/>
      <c r="F244" s="98"/>
      <c r="G244" s="21"/>
      <c r="H244" s="22"/>
      <c r="I244" s="22"/>
      <c r="J244" s="36">
        <f>J209+J233+J238+J243</f>
        <v>142552.46755666664</v>
      </c>
    </row>
    <row r="245" spans="2:12" ht="9.9499999999999993" customHeight="1">
      <c r="B245" s="20"/>
      <c r="C245" s="21"/>
      <c r="D245" s="108"/>
      <c r="E245" s="108"/>
      <c r="F245" s="108"/>
      <c r="G245" s="21"/>
      <c r="H245" s="22"/>
      <c r="I245" s="22"/>
      <c r="J245" s="23"/>
      <c r="K245" s="42">
        <f>J45+J85+J125+J164+J204+J244</f>
        <v>8606282.4195109271</v>
      </c>
    </row>
    <row r="246" spans="2:12" ht="20.100000000000001" customHeight="1">
      <c r="B246" s="95" t="s">
        <v>104</v>
      </c>
      <c r="C246" s="95"/>
      <c r="D246" s="95"/>
      <c r="E246" s="95"/>
      <c r="F246" s="95"/>
      <c r="G246" s="95"/>
      <c r="H246" s="95"/>
      <c r="I246" s="95"/>
      <c r="J246" s="95"/>
    </row>
    <row r="247" spans="2:12" s="40" customFormat="1" ht="9.9499999999999993" customHeight="1">
      <c r="B247" s="35">
        <v>1</v>
      </c>
      <c r="C247" s="17"/>
      <c r="D247" s="109" t="s">
        <v>104</v>
      </c>
      <c r="E247" s="109"/>
      <c r="F247" s="109"/>
      <c r="G247" s="39"/>
      <c r="H247" s="39"/>
      <c r="I247" s="16"/>
      <c r="J247" s="39"/>
    </row>
    <row r="248" spans="2:12" ht="9.9499999999999993" customHeight="1">
      <c r="B248" s="20"/>
      <c r="C248" s="21"/>
      <c r="D248" s="110" t="s">
        <v>105</v>
      </c>
      <c r="E248" s="110"/>
      <c r="F248" s="110"/>
      <c r="G248" s="21" t="s">
        <v>107</v>
      </c>
      <c r="H248" s="28">
        <f>J45+J85+J125+J164+J204+J244</f>
        <v>8606282.4195109271</v>
      </c>
      <c r="I248" s="41">
        <v>0.02</v>
      </c>
      <c r="J248" s="23">
        <f>H248*I248</f>
        <v>172125.64839021856</v>
      </c>
    </row>
    <row r="249" spans="2:12" ht="9.9499999999999993" customHeight="1">
      <c r="B249" s="20"/>
      <c r="C249" s="21"/>
      <c r="D249" s="37" t="s">
        <v>106</v>
      </c>
      <c r="E249" s="31"/>
      <c r="F249" s="38"/>
      <c r="G249" s="21" t="s">
        <v>107</v>
      </c>
      <c r="H249" s="28">
        <f>H248</f>
        <v>8606282.4195109271</v>
      </c>
      <c r="I249" s="41">
        <v>0.01</v>
      </c>
      <c r="J249" s="23">
        <f>H249*I249</f>
        <v>86062.824195109279</v>
      </c>
    </row>
    <row r="250" spans="2:12" ht="9.9499999999999993" customHeight="1">
      <c r="B250" s="20"/>
      <c r="C250" s="21"/>
      <c r="D250" s="96" t="s">
        <v>108</v>
      </c>
      <c r="E250" s="97"/>
      <c r="F250" s="98"/>
      <c r="G250" s="21"/>
      <c r="H250" s="28"/>
      <c r="I250" s="22"/>
      <c r="J250" s="36">
        <f>J248+J249</f>
        <v>258188.47258532784</v>
      </c>
    </row>
    <row r="251" spans="2:12" ht="9.9499999999999993" customHeight="1">
      <c r="B251" s="20"/>
      <c r="C251" s="21"/>
      <c r="D251" s="99"/>
      <c r="E251" s="100"/>
      <c r="F251" s="101"/>
      <c r="G251" s="21"/>
      <c r="H251" s="28"/>
      <c r="I251" s="22"/>
      <c r="J251" s="23"/>
    </row>
    <row r="252" spans="2:12" ht="9.9499999999999993" customHeight="1">
      <c r="B252" s="102" t="s">
        <v>109</v>
      </c>
      <c r="C252" s="103"/>
      <c r="D252" s="103"/>
      <c r="E252" s="103"/>
      <c r="F252" s="103"/>
      <c r="G252" s="103"/>
      <c r="H252" s="103"/>
      <c r="I252" s="104"/>
      <c r="J252" s="42">
        <f>J45+J85+J125+J164+J204+J244+J250</f>
        <v>8864470.892096255</v>
      </c>
      <c r="K252" s="42">
        <f>J252/250000</f>
        <v>35.457883568385022</v>
      </c>
    </row>
    <row r="253" spans="2:12" ht="9.9499999999999993" customHeight="1">
      <c r="B253" s="29"/>
      <c r="C253" s="30"/>
      <c r="D253" s="31"/>
      <c r="E253" s="31"/>
      <c r="F253" s="31"/>
      <c r="G253" s="30"/>
      <c r="H253" s="32"/>
      <c r="I253" s="32"/>
      <c r="J253" s="33"/>
    </row>
    <row r="254" spans="2:12" ht="9.9499999999999993" customHeight="1">
      <c r="L254" s="172">
        <f>H25+H65+H105+H145+H184+H224</f>
        <v>250000</v>
      </c>
    </row>
    <row r="255" spans="2:12">
      <c r="L255" s="172">
        <f>J34+J74+J114+J154+J193+J233</f>
        <v>8070464.2386680702</v>
      </c>
    </row>
    <row r="256" spans="2:12">
      <c r="E256" s="105"/>
      <c r="F256" s="105"/>
      <c r="G256" s="87"/>
      <c r="L256">
        <f>L255/J252</f>
        <v>0.91042819553549015</v>
      </c>
    </row>
    <row r="257" spans="5:7" ht="9.75" customHeight="1">
      <c r="E257" s="106" t="s">
        <v>128</v>
      </c>
      <c r="F257" s="106"/>
      <c r="G257" s="88"/>
    </row>
    <row r="258" spans="5:7">
      <c r="E258" s="107" t="s">
        <v>129</v>
      </c>
      <c r="F258" s="107"/>
      <c r="G258" s="89"/>
    </row>
  </sheetData>
  <mergeCells count="257">
    <mergeCell ref="D34:F34"/>
    <mergeCell ref="D36:F36"/>
    <mergeCell ref="D37:F37"/>
    <mergeCell ref="D38:F38"/>
    <mergeCell ref="D39:F39"/>
    <mergeCell ref="D41:F41"/>
    <mergeCell ref="G2:I2"/>
    <mergeCell ref="G3:I3"/>
    <mergeCell ref="B3:F5"/>
    <mergeCell ref="G4:G5"/>
    <mergeCell ref="B2:F2"/>
    <mergeCell ref="I4:J4"/>
    <mergeCell ref="I5:J5"/>
    <mergeCell ref="B1:J1"/>
    <mergeCell ref="D29:F29"/>
    <mergeCell ref="D12:F12"/>
    <mergeCell ref="D13:F13"/>
    <mergeCell ref="D14:F14"/>
    <mergeCell ref="D15:F15"/>
    <mergeCell ref="D16:F16"/>
    <mergeCell ref="D6:F6"/>
    <mergeCell ref="B7:J7"/>
    <mergeCell ref="D8:F8"/>
    <mergeCell ref="D9:F9"/>
    <mergeCell ref="D10:F10"/>
    <mergeCell ref="D42:F42"/>
    <mergeCell ref="D43:F43"/>
    <mergeCell ref="D45:F45"/>
    <mergeCell ref="D46:F46"/>
    <mergeCell ref="D72:F72"/>
    <mergeCell ref="D73:F73"/>
    <mergeCell ref="D74:F74"/>
    <mergeCell ref="D75:F75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30:F30"/>
    <mergeCell ref="D31:F31"/>
    <mergeCell ref="D32:F32"/>
    <mergeCell ref="D33:F33"/>
    <mergeCell ref="D52:F52"/>
    <mergeCell ref="D53:F53"/>
    <mergeCell ref="D54:F54"/>
    <mergeCell ref="D55:F55"/>
    <mergeCell ref="D56:F56"/>
    <mergeCell ref="D44:F44"/>
    <mergeCell ref="D48:F48"/>
    <mergeCell ref="D49:F49"/>
    <mergeCell ref="D50:F50"/>
    <mergeCell ref="D51:F51"/>
    <mergeCell ref="B47:J47"/>
    <mergeCell ref="D62:F62"/>
    <mergeCell ref="D63:F63"/>
    <mergeCell ref="D64:F64"/>
    <mergeCell ref="D65:F65"/>
    <mergeCell ref="D66:F66"/>
    <mergeCell ref="D57:F57"/>
    <mergeCell ref="D58:F58"/>
    <mergeCell ref="D59:F59"/>
    <mergeCell ref="D60:F60"/>
    <mergeCell ref="D61:F61"/>
    <mergeCell ref="D76:F76"/>
    <mergeCell ref="D77:F77"/>
    <mergeCell ref="D78:F78"/>
    <mergeCell ref="D79:F79"/>
    <mergeCell ref="D80:F80"/>
    <mergeCell ref="D67:F67"/>
    <mergeCell ref="D68:F68"/>
    <mergeCell ref="D69:F69"/>
    <mergeCell ref="D70:F70"/>
    <mergeCell ref="D71:F71"/>
    <mergeCell ref="D103:F103"/>
    <mergeCell ref="D104:F104"/>
    <mergeCell ref="D105:F105"/>
    <mergeCell ref="D106:F106"/>
    <mergeCell ref="D107:F107"/>
    <mergeCell ref="D108:F108"/>
    <mergeCell ref="D109:F109"/>
    <mergeCell ref="D81:F81"/>
    <mergeCell ref="D82:F82"/>
    <mergeCell ref="D83:F83"/>
    <mergeCell ref="D84:F84"/>
    <mergeCell ref="D85:F85"/>
    <mergeCell ref="D110:F110"/>
    <mergeCell ref="D111:F111"/>
    <mergeCell ref="D112:F112"/>
    <mergeCell ref="D113:F113"/>
    <mergeCell ref="D114:F114"/>
    <mergeCell ref="D11:F11"/>
    <mergeCell ref="D35:F35"/>
    <mergeCell ref="D40:F40"/>
    <mergeCell ref="D89:F89"/>
    <mergeCell ref="D90:F90"/>
    <mergeCell ref="D91:F91"/>
    <mergeCell ref="D92:F92"/>
    <mergeCell ref="D93:F93"/>
    <mergeCell ref="D94:F94"/>
    <mergeCell ref="D95:F95"/>
    <mergeCell ref="D96:F96"/>
    <mergeCell ref="D97:F97"/>
    <mergeCell ref="D98:F98"/>
    <mergeCell ref="D86:F86"/>
    <mergeCell ref="D88:F88"/>
    <mergeCell ref="D99:F99"/>
    <mergeCell ref="D100:F100"/>
    <mergeCell ref="D101:F101"/>
    <mergeCell ref="D102:F102"/>
    <mergeCell ref="D120:F120"/>
    <mergeCell ref="D121:F121"/>
    <mergeCell ref="D122:F122"/>
    <mergeCell ref="D123:F123"/>
    <mergeCell ref="D124:F124"/>
    <mergeCell ref="D115:F115"/>
    <mergeCell ref="D116:F116"/>
    <mergeCell ref="D117:F117"/>
    <mergeCell ref="D118:F118"/>
    <mergeCell ref="D119:F119"/>
    <mergeCell ref="D130:F130"/>
    <mergeCell ref="D131:F131"/>
    <mergeCell ref="D132:F132"/>
    <mergeCell ref="D133:F133"/>
    <mergeCell ref="D134:F134"/>
    <mergeCell ref="D125:F125"/>
    <mergeCell ref="D126:F126"/>
    <mergeCell ref="D128:F128"/>
    <mergeCell ref="D129:F129"/>
    <mergeCell ref="D140:F140"/>
    <mergeCell ref="D141:F141"/>
    <mergeCell ref="D142:F142"/>
    <mergeCell ref="D143:F143"/>
    <mergeCell ref="D144:F144"/>
    <mergeCell ref="D135:F135"/>
    <mergeCell ref="D136:F136"/>
    <mergeCell ref="D137:F137"/>
    <mergeCell ref="D138:F138"/>
    <mergeCell ref="D139:F139"/>
    <mergeCell ref="D150:F150"/>
    <mergeCell ref="D151:F151"/>
    <mergeCell ref="D152:F152"/>
    <mergeCell ref="D153:F153"/>
    <mergeCell ref="D154:F154"/>
    <mergeCell ref="D145:F145"/>
    <mergeCell ref="D146:F146"/>
    <mergeCell ref="D147:F147"/>
    <mergeCell ref="D148:F148"/>
    <mergeCell ref="D149:F149"/>
    <mergeCell ref="D159:F159"/>
    <mergeCell ref="D160:F160"/>
    <mergeCell ref="D161:F161"/>
    <mergeCell ref="D162:F162"/>
    <mergeCell ref="D163:F163"/>
    <mergeCell ref="D155:F155"/>
    <mergeCell ref="D156:F156"/>
    <mergeCell ref="D157:F157"/>
    <mergeCell ref="D158:F158"/>
    <mergeCell ref="D169:F169"/>
    <mergeCell ref="D170:F170"/>
    <mergeCell ref="D171:F171"/>
    <mergeCell ref="D172:F172"/>
    <mergeCell ref="D173:F173"/>
    <mergeCell ref="D164:F164"/>
    <mergeCell ref="D165:F165"/>
    <mergeCell ref="D167:F167"/>
    <mergeCell ref="D168:F168"/>
    <mergeCell ref="D179:F179"/>
    <mergeCell ref="D180:F180"/>
    <mergeCell ref="D181:F181"/>
    <mergeCell ref="D182:F182"/>
    <mergeCell ref="D183:F183"/>
    <mergeCell ref="D174:F174"/>
    <mergeCell ref="D175:F175"/>
    <mergeCell ref="D176:F176"/>
    <mergeCell ref="D177:F177"/>
    <mergeCell ref="D178:F178"/>
    <mergeCell ref="D189:F189"/>
    <mergeCell ref="D190:F190"/>
    <mergeCell ref="D191:F191"/>
    <mergeCell ref="D192:F192"/>
    <mergeCell ref="D193:F193"/>
    <mergeCell ref="D184:F184"/>
    <mergeCell ref="D185:F185"/>
    <mergeCell ref="D186:F186"/>
    <mergeCell ref="D187:F187"/>
    <mergeCell ref="D188:F188"/>
    <mergeCell ref="D199:F199"/>
    <mergeCell ref="D200:F200"/>
    <mergeCell ref="D201:F201"/>
    <mergeCell ref="D202:F202"/>
    <mergeCell ref="D203:F203"/>
    <mergeCell ref="D194:F194"/>
    <mergeCell ref="D195:F195"/>
    <mergeCell ref="D196:F196"/>
    <mergeCell ref="D197:F197"/>
    <mergeCell ref="D198:F198"/>
    <mergeCell ref="D209:F209"/>
    <mergeCell ref="D210:F210"/>
    <mergeCell ref="D211:F211"/>
    <mergeCell ref="D212:F212"/>
    <mergeCell ref="D213:F213"/>
    <mergeCell ref="D204:F204"/>
    <mergeCell ref="D205:F205"/>
    <mergeCell ref="D207:F207"/>
    <mergeCell ref="D208:F208"/>
    <mergeCell ref="B206:J206"/>
    <mergeCell ref="D219:F219"/>
    <mergeCell ref="D220:F220"/>
    <mergeCell ref="D221:F221"/>
    <mergeCell ref="D222:F222"/>
    <mergeCell ref="D223:F223"/>
    <mergeCell ref="D214:F214"/>
    <mergeCell ref="D215:F215"/>
    <mergeCell ref="D216:F216"/>
    <mergeCell ref="D217:F217"/>
    <mergeCell ref="D218:F218"/>
    <mergeCell ref="D229:F229"/>
    <mergeCell ref="D230:F230"/>
    <mergeCell ref="D231:F231"/>
    <mergeCell ref="D232:F232"/>
    <mergeCell ref="D233:F233"/>
    <mergeCell ref="D224:F224"/>
    <mergeCell ref="D225:F225"/>
    <mergeCell ref="D226:F226"/>
    <mergeCell ref="D227:F227"/>
    <mergeCell ref="D228:F228"/>
    <mergeCell ref="B246:J246"/>
    <mergeCell ref="D250:F250"/>
    <mergeCell ref="D251:F251"/>
    <mergeCell ref="B252:I252"/>
    <mergeCell ref="E256:F256"/>
    <mergeCell ref="E257:F257"/>
    <mergeCell ref="E258:F258"/>
    <mergeCell ref="B87:J87"/>
    <mergeCell ref="B127:J127"/>
    <mergeCell ref="B166:J166"/>
    <mergeCell ref="D244:F244"/>
    <mergeCell ref="D245:F245"/>
    <mergeCell ref="D247:F247"/>
    <mergeCell ref="D248:F248"/>
    <mergeCell ref="D239:F239"/>
    <mergeCell ref="D240:F240"/>
    <mergeCell ref="D241:F241"/>
    <mergeCell ref="D242:F242"/>
    <mergeCell ref="D243:F243"/>
    <mergeCell ref="D234:F234"/>
    <mergeCell ref="D235:F235"/>
    <mergeCell ref="D236:F236"/>
    <mergeCell ref="D237:F237"/>
    <mergeCell ref="D238:F238"/>
  </mergeCells>
  <printOptions horizontalCentered="1"/>
  <pageMargins left="0" right="0" top="0.39370078740157483" bottom="0.39370078740157483" header="0.31496062992125984" footer="0.31496062992125984"/>
  <pageSetup paperSize="9" scale="95" fitToHeight="6" orientation="landscape" r:id="rId1"/>
  <rowBreaks count="2" manualBreakCount="2">
    <brk id="90" min="1" max="9" man="1"/>
    <brk id="169" min="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M85"/>
  <sheetViews>
    <sheetView view="pageBreakPreview" zoomScale="85" zoomScaleNormal="85" zoomScaleSheetLayoutView="85" workbookViewId="0">
      <selection activeCell="C10" sqref="C10:C11"/>
    </sheetView>
  </sheetViews>
  <sheetFormatPr defaultRowHeight="15"/>
  <cols>
    <col min="1" max="1" width="5.140625" customWidth="1"/>
    <col min="2" max="2" width="12.85546875" customWidth="1"/>
    <col min="3" max="3" width="40.7109375" customWidth="1"/>
    <col min="4" max="4" width="10.5703125" customWidth="1"/>
    <col min="5" max="5" width="18.42578125" bestFit="1" customWidth="1"/>
    <col min="6" max="13" width="16.7109375" style="1" bestFit="1" customWidth="1"/>
  </cols>
  <sheetData>
    <row r="1" spans="2:13" s="2" customFormat="1" ht="20.100000000000001" customHeight="1">
      <c r="E1" s="163"/>
      <c r="F1" s="163"/>
      <c r="G1" s="163"/>
      <c r="H1" s="163"/>
      <c r="I1" s="163"/>
      <c r="J1" s="163"/>
      <c r="K1" s="163"/>
      <c r="L1" s="163"/>
      <c r="M1" s="163"/>
    </row>
    <row r="2" spans="2:13" s="2" customFormat="1" ht="20.100000000000001" customHeight="1">
      <c r="B2" s="5" t="s">
        <v>112</v>
      </c>
      <c r="C2" s="43" t="s">
        <v>110</v>
      </c>
      <c r="D2" s="43"/>
      <c r="E2" s="4"/>
      <c r="F2" s="91"/>
      <c r="G2" s="91"/>
      <c r="H2" s="91"/>
      <c r="I2" s="91"/>
      <c r="J2" s="117" t="s">
        <v>19</v>
      </c>
      <c r="K2" s="118"/>
      <c r="L2" s="119"/>
      <c r="M2" s="11"/>
    </row>
    <row r="3" spans="2:13" s="2" customFormat="1" ht="20.100000000000001" customHeight="1">
      <c r="B3" s="5" t="s">
        <v>113</v>
      </c>
      <c r="C3" s="43" t="s">
        <v>111</v>
      </c>
      <c r="D3" s="43"/>
      <c r="E3" s="3"/>
      <c r="F3" s="91"/>
      <c r="G3" s="91"/>
      <c r="H3" s="91"/>
      <c r="I3" s="91"/>
      <c r="J3" s="120" t="s">
        <v>20</v>
      </c>
      <c r="K3" s="121"/>
      <c r="L3" s="122"/>
      <c r="M3" s="12"/>
    </row>
    <row r="4" spans="2:13" s="2" customFormat="1" ht="20.100000000000001" customHeight="1">
      <c r="B4" s="6" t="s">
        <v>114</v>
      </c>
      <c r="C4" s="44">
        <v>250000</v>
      </c>
      <c r="D4" s="44"/>
      <c r="E4" s="43" t="s">
        <v>13</v>
      </c>
      <c r="F4" s="91"/>
      <c r="G4" s="91"/>
      <c r="H4" s="91"/>
      <c r="I4" s="91"/>
      <c r="J4" s="129" t="s">
        <v>21</v>
      </c>
      <c r="K4" s="9" t="s">
        <v>22</v>
      </c>
      <c r="L4" s="133" t="s">
        <v>24</v>
      </c>
      <c r="M4" s="133"/>
    </row>
    <row r="5" spans="2:13" s="2" customFormat="1" ht="20.100000000000001" customHeight="1">
      <c r="E5" s="91"/>
      <c r="F5" s="91"/>
      <c r="G5" s="91"/>
      <c r="H5" s="91"/>
      <c r="I5" s="91"/>
      <c r="J5" s="129"/>
      <c r="K5" s="10" t="s">
        <v>23</v>
      </c>
      <c r="L5" s="133" t="s">
        <v>24</v>
      </c>
      <c r="M5" s="133"/>
    </row>
    <row r="6" spans="2:13" s="2" customFormat="1" ht="20.100000000000001" customHeight="1">
      <c r="E6" s="91"/>
      <c r="F6" s="91"/>
      <c r="G6" s="91"/>
      <c r="H6" s="91"/>
      <c r="I6" s="91"/>
      <c r="J6" s="92"/>
      <c r="K6" s="93"/>
      <c r="L6" s="94"/>
      <c r="M6" s="94"/>
    </row>
    <row r="7" spans="2:13" s="2" customFormat="1" ht="19.5" customHeight="1" thickBot="1">
      <c r="E7" s="91"/>
      <c r="F7" s="91"/>
      <c r="G7" s="91"/>
      <c r="H7" s="91"/>
      <c r="I7" s="91"/>
      <c r="J7" s="92"/>
      <c r="K7" s="93"/>
      <c r="L7" s="94"/>
      <c r="M7" s="94"/>
    </row>
    <row r="8" spans="2:13" s="2" customFormat="1" ht="20.100000000000001" customHeight="1" thickBot="1">
      <c r="B8" s="158" t="s">
        <v>0</v>
      </c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60"/>
    </row>
    <row r="9" spans="2:13" ht="15.75" thickBot="1">
      <c r="C9" s="45"/>
      <c r="D9" s="45"/>
      <c r="E9" s="45"/>
      <c r="F9" s="7"/>
      <c r="G9" s="7"/>
      <c r="H9" s="7"/>
      <c r="I9" s="7"/>
      <c r="J9" s="7"/>
      <c r="K9" s="7"/>
      <c r="L9" s="7"/>
      <c r="M9" s="7"/>
    </row>
    <row r="10" spans="2:13">
      <c r="B10" s="161" t="s">
        <v>115</v>
      </c>
      <c r="C10" s="166" t="s">
        <v>116</v>
      </c>
      <c r="D10" s="146" t="s">
        <v>122</v>
      </c>
      <c r="E10" s="146" t="s">
        <v>123</v>
      </c>
      <c r="F10" s="164" t="s">
        <v>124</v>
      </c>
      <c r="G10" s="164"/>
      <c r="H10" s="164"/>
      <c r="I10" s="164"/>
      <c r="J10" s="164"/>
      <c r="K10" s="164"/>
      <c r="L10" s="164"/>
      <c r="M10" s="165"/>
    </row>
    <row r="11" spans="2:13" ht="15.75" thickBot="1">
      <c r="B11" s="162"/>
      <c r="C11" s="167"/>
      <c r="D11" s="147"/>
      <c r="E11" s="147"/>
      <c r="F11" s="46" t="s">
        <v>1</v>
      </c>
      <c r="G11" s="46" t="s">
        <v>2</v>
      </c>
      <c r="H11" s="46" t="s">
        <v>3</v>
      </c>
      <c r="I11" s="46" t="s">
        <v>4</v>
      </c>
      <c r="J11" s="46" t="s">
        <v>5</v>
      </c>
      <c r="K11" s="46" t="s">
        <v>6</v>
      </c>
      <c r="L11" s="46" t="s">
        <v>7</v>
      </c>
      <c r="M11" s="51" t="s">
        <v>8</v>
      </c>
    </row>
    <row r="12" spans="2:13">
      <c r="B12" s="168"/>
      <c r="C12" s="170" t="s">
        <v>32</v>
      </c>
      <c r="D12" s="148"/>
      <c r="E12" s="148"/>
      <c r="F12" s="79"/>
      <c r="G12" s="79"/>
      <c r="H12" s="79"/>
      <c r="I12" s="79"/>
      <c r="J12" s="79"/>
      <c r="K12" s="79"/>
      <c r="L12" s="79"/>
      <c r="M12" s="80"/>
    </row>
    <row r="13" spans="2:13">
      <c r="B13" s="169"/>
      <c r="C13" s="171"/>
      <c r="D13" s="149"/>
      <c r="E13" s="149"/>
      <c r="F13" s="81"/>
      <c r="G13" s="81"/>
      <c r="H13" s="81"/>
      <c r="I13" s="81"/>
      <c r="J13" s="81"/>
      <c r="K13" s="81"/>
      <c r="L13" s="81"/>
      <c r="M13" s="82"/>
    </row>
    <row r="14" spans="2:13">
      <c r="B14" s="144">
        <v>1</v>
      </c>
      <c r="C14" s="150" t="s">
        <v>14</v>
      </c>
      <c r="D14" s="138">
        <f>E14/$E$80</f>
        <v>2.7180566435705514E-3</v>
      </c>
      <c r="E14" s="140">
        <f>ORÇAMENTO!J10</f>
        <v>24094.133999999998</v>
      </c>
      <c r="F14" s="52"/>
      <c r="G14" s="52"/>
      <c r="H14" s="52"/>
      <c r="I14" s="52">
        <f>E14*I15</f>
        <v>24094.133999999998</v>
      </c>
      <c r="J14" s="52"/>
      <c r="K14" s="52"/>
      <c r="L14" s="52"/>
      <c r="M14" s="66"/>
    </row>
    <row r="15" spans="2:13">
      <c r="B15" s="145"/>
      <c r="C15" s="151"/>
      <c r="D15" s="139"/>
      <c r="E15" s="141"/>
      <c r="F15" s="53"/>
      <c r="G15" s="53"/>
      <c r="H15" s="53"/>
      <c r="I15" s="53">
        <v>1</v>
      </c>
      <c r="J15" s="53"/>
      <c r="K15" s="53"/>
      <c r="L15" s="53"/>
      <c r="M15" s="67"/>
    </row>
    <row r="16" spans="2:13">
      <c r="B16" s="144">
        <v>2</v>
      </c>
      <c r="C16" s="150" t="s">
        <v>9</v>
      </c>
      <c r="D16" s="138">
        <f t="shared" ref="D16" si="0">E16/$E$80</f>
        <v>0.20348386235156146</v>
      </c>
      <c r="E16" s="140">
        <f>ORÇAMENTO!J34</f>
        <v>1803776.7748267376</v>
      </c>
      <c r="F16" s="52"/>
      <c r="G16" s="52"/>
      <c r="H16" s="52"/>
      <c r="I16" s="52">
        <f>I17*E16</f>
        <v>811699.54867203196</v>
      </c>
      <c r="J16" s="52">
        <f>E16*J17</f>
        <v>541133.03244802123</v>
      </c>
      <c r="K16" s="52"/>
      <c r="L16" s="52">
        <f>L17*E16</f>
        <v>450944.1937066844</v>
      </c>
      <c r="M16" s="66"/>
    </row>
    <row r="17" spans="2:13">
      <c r="B17" s="145"/>
      <c r="C17" s="151"/>
      <c r="D17" s="139"/>
      <c r="E17" s="141"/>
      <c r="F17" s="53"/>
      <c r="G17" s="53"/>
      <c r="H17" s="53"/>
      <c r="I17" s="53">
        <v>0.45</v>
      </c>
      <c r="J17" s="53">
        <v>0.3</v>
      </c>
      <c r="K17" s="53"/>
      <c r="L17" s="53">
        <v>0.25</v>
      </c>
      <c r="M17" s="67"/>
    </row>
    <row r="18" spans="2:13">
      <c r="B18" s="144">
        <v>3</v>
      </c>
      <c r="C18" s="150" t="s">
        <v>10</v>
      </c>
      <c r="D18" s="138">
        <f t="shared" ref="D18" si="1">E18/$E$80</f>
        <v>6.7706790991342424E-3</v>
      </c>
      <c r="E18" s="140">
        <f>ORÇAMENTO!J39</f>
        <v>60018.487793999986</v>
      </c>
      <c r="F18" s="52"/>
      <c r="G18" s="52"/>
      <c r="H18" s="52"/>
      <c r="I18" s="52"/>
      <c r="J18" s="52"/>
      <c r="K18" s="52"/>
      <c r="L18" s="52">
        <f>E18*L19</f>
        <v>30009.243896999993</v>
      </c>
      <c r="M18" s="66">
        <f>M19*E18</f>
        <v>30009.243896999993</v>
      </c>
    </row>
    <row r="19" spans="2:13">
      <c r="B19" s="145"/>
      <c r="C19" s="151"/>
      <c r="D19" s="139"/>
      <c r="E19" s="141"/>
      <c r="F19" s="53"/>
      <c r="G19" s="53"/>
      <c r="H19" s="53"/>
      <c r="I19" s="53"/>
      <c r="J19" s="53"/>
      <c r="K19" s="53"/>
      <c r="L19" s="53">
        <v>0.5</v>
      </c>
      <c r="M19" s="67">
        <v>0.5</v>
      </c>
    </row>
    <row r="20" spans="2:13">
      <c r="B20" s="144">
        <v>4</v>
      </c>
      <c r="C20" s="152" t="s">
        <v>12</v>
      </c>
      <c r="D20" s="138">
        <f t="shared" ref="D20" si="2">E20/$E$80</f>
        <v>3.4658607235535381E-3</v>
      </c>
      <c r="E20" s="140">
        <f>ORÇAMENTO!J44</f>
        <v>30723.021500000003</v>
      </c>
      <c r="F20" s="52"/>
      <c r="G20" s="52"/>
      <c r="H20" s="52"/>
      <c r="I20" s="52"/>
      <c r="J20" s="52"/>
      <c r="K20" s="52"/>
      <c r="L20" s="52"/>
      <c r="M20" s="66">
        <f>M21*E20</f>
        <v>30723.021500000003</v>
      </c>
    </row>
    <row r="21" spans="2:13">
      <c r="B21" s="145"/>
      <c r="C21" s="153"/>
      <c r="D21" s="139"/>
      <c r="E21" s="141"/>
      <c r="F21" s="53"/>
      <c r="G21" s="53"/>
      <c r="H21" s="53"/>
      <c r="I21" s="53"/>
      <c r="J21" s="53"/>
      <c r="K21" s="53"/>
      <c r="L21" s="53"/>
      <c r="M21" s="67">
        <v>1</v>
      </c>
    </row>
    <row r="22" spans="2:13">
      <c r="B22" s="154"/>
      <c r="C22" s="156" t="s">
        <v>94</v>
      </c>
      <c r="D22" s="134"/>
      <c r="E22" s="136"/>
      <c r="F22" s="83"/>
      <c r="G22" s="83"/>
      <c r="H22" s="83"/>
      <c r="I22" s="83"/>
      <c r="J22" s="83"/>
      <c r="K22" s="83"/>
      <c r="L22" s="83"/>
      <c r="M22" s="84"/>
    </row>
    <row r="23" spans="2:13">
      <c r="B23" s="155"/>
      <c r="C23" s="157"/>
      <c r="D23" s="135"/>
      <c r="E23" s="137"/>
      <c r="F23" s="85"/>
      <c r="G23" s="85"/>
      <c r="H23" s="85"/>
      <c r="I23" s="85"/>
      <c r="J23" s="85"/>
      <c r="K23" s="85"/>
      <c r="L23" s="85"/>
      <c r="M23" s="86"/>
    </row>
    <row r="24" spans="2:13">
      <c r="B24" s="144">
        <v>1</v>
      </c>
      <c r="C24" s="150" t="s">
        <v>14</v>
      </c>
      <c r="D24" s="138">
        <f t="shared" ref="D24" si="3">E24/$E$80</f>
        <v>6.8775871388284098E-3</v>
      </c>
      <c r="E24" s="140">
        <f>ORÇAMENTO!J50</f>
        <v>60966.171000000002</v>
      </c>
      <c r="F24" s="52">
        <f>E24*F25</f>
        <v>60966.171000000002</v>
      </c>
      <c r="G24" s="52"/>
      <c r="H24" s="52"/>
      <c r="I24" s="52"/>
      <c r="J24" s="52"/>
      <c r="K24" s="52"/>
      <c r="L24" s="52"/>
      <c r="M24" s="66"/>
    </row>
    <row r="25" spans="2:13">
      <c r="B25" s="145"/>
      <c r="C25" s="151"/>
      <c r="D25" s="139"/>
      <c r="E25" s="141"/>
      <c r="F25" s="53">
        <v>1</v>
      </c>
      <c r="G25" s="53"/>
      <c r="H25" s="53"/>
      <c r="I25" s="53"/>
      <c r="J25" s="53"/>
      <c r="K25" s="53"/>
      <c r="L25" s="53"/>
      <c r="M25" s="67"/>
    </row>
    <row r="26" spans="2:13">
      <c r="B26" s="144">
        <v>2</v>
      </c>
      <c r="C26" s="150" t="s">
        <v>9</v>
      </c>
      <c r="D26" s="138">
        <f t="shared" ref="D26" si="4">E26/$E$80</f>
        <v>0.47230387061732609</v>
      </c>
      <c r="E26" s="140">
        <f>ORÇAMENTO!J74</f>
        <v>4186723.9133116826</v>
      </c>
      <c r="F26" s="52">
        <f>F27*E26</f>
        <v>1130415.4565941545</v>
      </c>
      <c r="G26" s="52">
        <f>E26*G27</f>
        <v>1130415.4565941545</v>
      </c>
      <c r="H26" s="52">
        <f>E26*H27</f>
        <v>1130415.4565941545</v>
      </c>
      <c r="I26" s="52"/>
      <c r="J26" s="52">
        <f>E26*J27</f>
        <v>418672.3913311683</v>
      </c>
      <c r="K26" s="52">
        <f>E26*K27</f>
        <v>376805.15219805145</v>
      </c>
      <c r="L26" s="52"/>
      <c r="M26" s="66"/>
    </row>
    <row r="27" spans="2:13">
      <c r="B27" s="145"/>
      <c r="C27" s="151"/>
      <c r="D27" s="139"/>
      <c r="E27" s="141"/>
      <c r="F27" s="53">
        <v>0.27</v>
      </c>
      <c r="G27" s="53">
        <v>0.27</v>
      </c>
      <c r="H27" s="53">
        <v>0.27</v>
      </c>
      <c r="I27" s="53"/>
      <c r="J27" s="53">
        <v>0.1</v>
      </c>
      <c r="K27" s="53">
        <v>0.09</v>
      </c>
      <c r="L27" s="53"/>
      <c r="M27" s="67"/>
    </row>
    <row r="28" spans="2:13">
      <c r="B28" s="144">
        <v>3</v>
      </c>
      <c r="C28" s="150" t="s">
        <v>10</v>
      </c>
      <c r="D28" s="138">
        <f t="shared" ref="D28" si="5">E28/$E$80</f>
        <v>1.7132069562821567E-2</v>
      </c>
      <c r="E28" s="140">
        <f>ORÇAMENTO!J79</f>
        <v>151866.73196099998</v>
      </c>
      <c r="F28" s="52"/>
      <c r="G28" s="52"/>
      <c r="H28" s="52"/>
      <c r="I28" s="52"/>
      <c r="J28" s="52"/>
      <c r="K28" s="52">
        <f>K29*E28</f>
        <v>75933.365980499992</v>
      </c>
      <c r="L28" s="52">
        <f>L29*E28</f>
        <v>75933.365980499992</v>
      </c>
      <c r="M28" s="66"/>
    </row>
    <row r="29" spans="2:13">
      <c r="B29" s="145"/>
      <c r="C29" s="151"/>
      <c r="D29" s="139"/>
      <c r="E29" s="141"/>
      <c r="F29" s="53"/>
      <c r="G29" s="53"/>
      <c r="H29" s="53"/>
      <c r="I29" s="53"/>
      <c r="J29" s="53"/>
      <c r="K29" s="53">
        <v>0.5</v>
      </c>
      <c r="L29" s="53">
        <v>0.5</v>
      </c>
      <c r="M29" s="67"/>
    </row>
    <row r="30" spans="2:13">
      <c r="B30" s="144">
        <v>4</v>
      </c>
      <c r="C30" s="152" t="s">
        <v>12</v>
      </c>
      <c r="D30" s="138">
        <f t="shared" ref="D30" si="6">E30/$E$80</f>
        <v>8.7693626778458725E-3</v>
      </c>
      <c r="E30" s="140">
        <f>ORÇAMENTO!J84</f>
        <v>77735.760200000004</v>
      </c>
      <c r="F30" s="52"/>
      <c r="G30" s="52"/>
      <c r="H30" s="52"/>
      <c r="I30" s="52"/>
      <c r="J30" s="52"/>
      <c r="K30" s="52"/>
      <c r="L30" s="52">
        <f>L31*E30</f>
        <v>62188.608160000003</v>
      </c>
      <c r="M30" s="66">
        <f>M31*E30</f>
        <v>15547.152040000001</v>
      </c>
    </row>
    <row r="31" spans="2:13">
      <c r="B31" s="145"/>
      <c r="C31" s="153"/>
      <c r="D31" s="139"/>
      <c r="E31" s="141"/>
      <c r="F31" s="53"/>
      <c r="G31" s="53"/>
      <c r="H31" s="53"/>
      <c r="I31" s="53"/>
      <c r="J31" s="53"/>
      <c r="K31" s="53"/>
      <c r="L31" s="53">
        <v>0.8</v>
      </c>
      <c r="M31" s="67">
        <v>0.2</v>
      </c>
    </row>
    <row r="32" spans="2:13">
      <c r="B32" s="154"/>
      <c r="C32" s="156" t="s">
        <v>96</v>
      </c>
      <c r="D32" s="134"/>
      <c r="E32" s="136"/>
      <c r="F32" s="83"/>
      <c r="G32" s="83"/>
      <c r="H32" s="83"/>
      <c r="I32" s="83"/>
      <c r="J32" s="83"/>
      <c r="K32" s="83"/>
      <c r="L32" s="83"/>
      <c r="M32" s="84"/>
    </row>
    <row r="33" spans="2:13">
      <c r="B33" s="155"/>
      <c r="C33" s="157"/>
      <c r="D33" s="135"/>
      <c r="E33" s="137"/>
      <c r="F33" s="85"/>
      <c r="G33" s="85"/>
      <c r="H33" s="85"/>
      <c r="I33" s="85"/>
      <c r="J33" s="85"/>
      <c r="K33" s="85"/>
      <c r="L33" s="85"/>
      <c r="M33" s="86"/>
    </row>
    <row r="34" spans="2:13">
      <c r="B34" s="144">
        <v>1</v>
      </c>
      <c r="C34" s="150" t="s">
        <v>14</v>
      </c>
      <c r="D34" s="138">
        <f t="shared" ref="D34" si="7">E34/$E$80</f>
        <v>1.5360307643562116E-3</v>
      </c>
      <c r="E34" s="140">
        <f>ORÇAMENTO!J90</f>
        <v>13616.1</v>
      </c>
      <c r="F34" s="52"/>
      <c r="G34" s="52"/>
      <c r="H34" s="52"/>
      <c r="I34" s="52"/>
      <c r="J34" s="52">
        <f>J35*E34</f>
        <v>13616.1</v>
      </c>
      <c r="K34" s="52"/>
      <c r="L34" s="52"/>
      <c r="M34" s="66"/>
    </row>
    <row r="35" spans="2:13">
      <c r="B35" s="145"/>
      <c r="C35" s="151"/>
      <c r="D35" s="139"/>
      <c r="E35" s="141"/>
      <c r="F35" s="53"/>
      <c r="G35" s="53"/>
      <c r="H35" s="53"/>
      <c r="I35" s="53"/>
      <c r="J35" s="53">
        <v>1</v>
      </c>
      <c r="K35" s="53"/>
      <c r="L35" s="53"/>
      <c r="M35" s="67"/>
    </row>
    <row r="36" spans="2:13">
      <c r="B36" s="144">
        <v>2</v>
      </c>
      <c r="C36" s="150" t="s">
        <v>9</v>
      </c>
      <c r="D36" s="138">
        <f t="shared" ref="D36" si="8">E36/$E$80</f>
        <v>0.11492235331071107</v>
      </c>
      <c r="E36" s="140">
        <f>ORÇAMENTO!J114</f>
        <v>1018725.8557739999</v>
      </c>
      <c r="F36" s="52"/>
      <c r="G36" s="52"/>
      <c r="H36" s="52"/>
      <c r="I36" s="52"/>
      <c r="J36" s="52">
        <f>J37*E36</f>
        <v>560299.22067569999</v>
      </c>
      <c r="K36" s="52">
        <f>K37*E36</f>
        <v>254681.46394349998</v>
      </c>
      <c r="L36" s="52">
        <f>L37*E36</f>
        <v>203745.17115479999</v>
      </c>
      <c r="M36" s="66"/>
    </row>
    <row r="37" spans="2:13">
      <c r="B37" s="145"/>
      <c r="C37" s="151"/>
      <c r="D37" s="139"/>
      <c r="E37" s="141"/>
      <c r="F37" s="53"/>
      <c r="G37" s="53"/>
      <c r="H37" s="53"/>
      <c r="I37" s="53"/>
      <c r="J37" s="53">
        <v>0.55000000000000004</v>
      </c>
      <c r="K37" s="53">
        <v>0.25</v>
      </c>
      <c r="L37" s="53">
        <v>0.2</v>
      </c>
      <c r="M37" s="67"/>
    </row>
    <row r="38" spans="2:13">
      <c r="B38" s="144">
        <v>3</v>
      </c>
      <c r="C38" s="150" t="s">
        <v>10</v>
      </c>
      <c r="D38" s="138">
        <f t="shared" ref="D38" si="9">E38/$E$80</f>
        <v>3.8262526340113222E-3</v>
      </c>
      <c r="E38" s="140">
        <f>ORÇAMENTO!J119</f>
        <v>33917.705099999992</v>
      </c>
      <c r="F38" s="52"/>
      <c r="G38" s="52"/>
      <c r="H38" s="52"/>
      <c r="I38" s="52"/>
      <c r="J38" s="52"/>
      <c r="K38" s="52"/>
      <c r="L38" s="52">
        <f>L39*E38</f>
        <v>16958.852549999996</v>
      </c>
      <c r="M38" s="66">
        <f>M39*E38</f>
        <v>16958.852549999996</v>
      </c>
    </row>
    <row r="39" spans="2:13">
      <c r="B39" s="145"/>
      <c r="C39" s="151"/>
      <c r="D39" s="139"/>
      <c r="E39" s="141"/>
      <c r="F39" s="53"/>
      <c r="G39" s="53"/>
      <c r="H39" s="53"/>
      <c r="I39" s="53"/>
      <c r="J39" s="53"/>
      <c r="K39" s="53"/>
      <c r="L39" s="53">
        <v>0.5</v>
      </c>
      <c r="M39" s="67">
        <v>0.5</v>
      </c>
    </row>
    <row r="40" spans="2:13">
      <c r="B40" s="144">
        <v>4</v>
      </c>
      <c r="C40" s="152" t="s">
        <v>12</v>
      </c>
      <c r="D40" s="138">
        <f t="shared" ref="D40" si="10">E40/$E$80</f>
        <v>1.9583203680524314E-3</v>
      </c>
      <c r="E40" s="140">
        <f>ORÇAMENTO!J124</f>
        <v>17359.473900000001</v>
      </c>
      <c r="F40" s="52"/>
      <c r="G40" s="52"/>
      <c r="H40" s="52"/>
      <c r="I40" s="52"/>
      <c r="J40" s="52"/>
      <c r="K40" s="52"/>
      <c r="L40" s="52"/>
      <c r="M40" s="66">
        <f>M41*E40</f>
        <v>17359.473900000001</v>
      </c>
    </row>
    <row r="41" spans="2:13">
      <c r="B41" s="145"/>
      <c r="C41" s="153"/>
      <c r="D41" s="139"/>
      <c r="E41" s="141"/>
      <c r="F41" s="53"/>
      <c r="G41" s="53"/>
      <c r="H41" s="53"/>
      <c r="I41" s="53"/>
      <c r="J41" s="53"/>
      <c r="K41" s="53"/>
      <c r="L41" s="53"/>
      <c r="M41" s="67">
        <v>1</v>
      </c>
    </row>
    <row r="42" spans="2:13">
      <c r="B42" s="154"/>
      <c r="C42" s="156" t="s">
        <v>98</v>
      </c>
      <c r="D42" s="134"/>
      <c r="E42" s="136"/>
      <c r="F42" s="83"/>
      <c r="G42" s="83"/>
      <c r="H42" s="83"/>
      <c r="I42" s="83"/>
      <c r="J42" s="83"/>
      <c r="K42" s="83"/>
      <c r="L42" s="83"/>
      <c r="M42" s="84"/>
    </row>
    <row r="43" spans="2:13">
      <c r="B43" s="155"/>
      <c r="C43" s="157"/>
      <c r="D43" s="135"/>
      <c r="E43" s="137"/>
      <c r="F43" s="85"/>
      <c r="G43" s="85"/>
      <c r="H43" s="85"/>
      <c r="I43" s="85"/>
      <c r="J43" s="85"/>
      <c r="K43" s="85"/>
      <c r="L43" s="85"/>
      <c r="M43" s="86"/>
    </row>
    <row r="44" spans="2:13">
      <c r="B44" s="144">
        <v>1</v>
      </c>
      <c r="C44" s="150" t="s">
        <v>14</v>
      </c>
      <c r="D44" s="138">
        <f t="shared" ref="D44" si="11">E44/$E$80</f>
        <v>6.3333729314918688E-4</v>
      </c>
      <c r="E44" s="140">
        <f>ORÇAMENTO!J130</f>
        <v>5614.2</v>
      </c>
      <c r="F44" s="52"/>
      <c r="G44" s="52"/>
      <c r="H44" s="52"/>
      <c r="I44" s="52"/>
      <c r="J44" s="52"/>
      <c r="K44" s="52">
        <f>K45*E44</f>
        <v>5614.2</v>
      </c>
      <c r="L44" s="52"/>
      <c r="M44" s="66"/>
    </row>
    <row r="45" spans="2:13">
      <c r="B45" s="145"/>
      <c r="C45" s="151"/>
      <c r="D45" s="139"/>
      <c r="E45" s="141"/>
      <c r="F45" s="53"/>
      <c r="G45" s="53"/>
      <c r="H45" s="53"/>
      <c r="I45" s="53"/>
      <c r="J45" s="53"/>
      <c r="K45" s="53">
        <v>1</v>
      </c>
      <c r="L45" s="53"/>
      <c r="M45" s="67"/>
    </row>
    <row r="46" spans="2:13">
      <c r="B46" s="144">
        <v>2</v>
      </c>
      <c r="C46" s="150" t="s">
        <v>9</v>
      </c>
      <c r="D46" s="138">
        <f t="shared" ref="D46" si="12">E46/$E$80</f>
        <v>5.0072059238462106E-2</v>
      </c>
      <c r="E46" s="140">
        <f>ORÇAMENTO!J154</f>
        <v>443862.31162666669</v>
      </c>
      <c r="F46" s="52"/>
      <c r="G46" s="52"/>
      <c r="H46" s="52"/>
      <c r="I46" s="52"/>
      <c r="J46" s="52"/>
      <c r="K46" s="52">
        <f>K47*E46</f>
        <v>266317.38697599998</v>
      </c>
      <c r="L46" s="52">
        <f>L47*E46</f>
        <v>88772.462325333341</v>
      </c>
      <c r="M46" s="66">
        <f>M47*E46</f>
        <v>88772.462325333341</v>
      </c>
    </row>
    <row r="47" spans="2:13">
      <c r="B47" s="145"/>
      <c r="C47" s="151"/>
      <c r="D47" s="139"/>
      <c r="E47" s="141"/>
      <c r="F47" s="53"/>
      <c r="G47" s="53"/>
      <c r="H47" s="53"/>
      <c r="I47" s="53"/>
      <c r="J47" s="53"/>
      <c r="K47" s="53">
        <v>0.6</v>
      </c>
      <c r="L47" s="53">
        <v>0.2</v>
      </c>
      <c r="M47" s="67">
        <v>0.2</v>
      </c>
    </row>
    <row r="48" spans="2:13">
      <c r="B48" s="144">
        <v>3</v>
      </c>
      <c r="C48" s="150" t="s">
        <v>10</v>
      </c>
      <c r="D48" s="138">
        <f t="shared" ref="D48" si="13">E48/$E$80</f>
        <v>1.5362953196675986E-3</v>
      </c>
      <c r="E48" s="140">
        <f>ORÇAMENTO!J158</f>
        <v>13618.445142857139</v>
      </c>
      <c r="F48" s="52"/>
      <c r="G48" s="52"/>
      <c r="H48" s="52"/>
      <c r="I48" s="52"/>
      <c r="J48" s="52"/>
      <c r="K48" s="52"/>
      <c r="L48" s="52"/>
      <c r="M48" s="66">
        <f>M49*E48</f>
        <v>13618.445142857139</v>
      </c>
    </row>
    <row r="49" spans="2:13">
      <c r="B49" s="145"/>
      <c r="C49" s="151"/>
      <c r="D49" s="139"/>
      <c r="E49" s="141"/>
      <c r="F49" s="53"/>
      <c r="G49" s="53"/>
      <c r="H49" s="53"/>
      <c r="I49" s="53"/>
      <c r="J49" s="53"/>
      <c r="K49" s="53"/>
      <c r="L49" s="53"/>
      <c r="M49" s="67">
        <v>1</v>
      </c>
    </row>
    <row r="50" spans="2:13">
      <c r="B50" s="144">
        <v>4</v>
      </c>
      <c r="C50" s="152" t="s">
        <v>12</v>
      </c>
      <c r="D50" s="138">
        <f t="shared" ref="D50" si="14">E50/$E$80</f>
        <v>8.0772287338481041E-4</v>
      </c>
      <c r="E50" s="140">
        <f>ORÇAMENTO!J163</f>
        <v>7160.0359000000008</v>
      </c>
      <c r="F50" s="52"/>
      <c r="G50" s="52"/>
      <c r="H50" s="52"/>
      <c r="I50" s="52"/>
      <c r="J50" s="52"/>
      <c r="K50" s="52"/>
      <c r="L50" s="52"/>
      <c r="M50" s="66">
        <f>M51*E50</f>
        <v>7160.0359000000008</v>
      </c>
    </row>
    <row r="51" spans="2:13">
      <c r="B51" s="145"/>
      <c r="C51" s="153"/>
      <c r="D51" s="139"/>
      <c r="E51" s="141"/>
      <c r="F51" s="53"/>
      <c r="G51" s="53"/>
      <c r="H51" s="53"/>
      <c r="I51" s="53"/>
      <c r="J51" s="53"/>
      <c r="K51" s="53"/>
      <c r="L51" s="53"/>
      <c r="M51" s="67">
        <v>1</v>
      </c>
    </row>
    <row r="52" spans="2:13">
      <c r="B52" s="154"/>
      <c r="C52" s="156" t="s">
        <v>117</v>
      </c>
      <c r="D52" s="134"/>
      <c r="E52" s="136"/>
      <c r="F52" s="83"/>
      <c r="G52" s="83"/>
      <c r="H52" s="83"/>
      <c r="I52" s="83"/>
      <c r="J52" s="83"/>
      <c r="K52" s="83"/>
      <c r="L52" s="83"/>
      <c r="M52" s="84"/>
    </row>
    <row r="53" spans="2:13">
      <c r="B53" s="155"/>
      <c r="C53" s="157"/>
      <c r="D53" s="135"/>
      <c r="E53" s="137"/>
      <c r="F53" s="85"/>
      <c r="G53" s="85"/>
      <c r="H53" s="85"/>
      <c r="I53" s="85"/>
      <c r="J53" s="85"/>
      <c r="K53" s="85"/>
      <c r="L53" s="85"/>
      <c r="M53" s="86"/>
    </row>
    <row r="54" spans="2:13">
      <c r="B54" s="144">
        <v>1</v>
      </c>
      <c r="C54" s="150" t="s">
        <v>14</v>
      </c>
      <c r="D54" s="138">
        <f t="shared" ref="D54" si="15">E54/$E$80</f>
        <v>7.3426209857639906E-4</v>
      </c>
      <c r="E54" s="140">
        <f>ORÇAMENTO!J169</f>
        <v>6508.8450000000003</v>
      </c>
      <c r="F54" s="52"/>
      <c r="G54" s="52"/>
      <c r="H54" s="52"/>
      <c r="I54" s="52"/>
      <c r="J54" s="52"/>
      <c r="K54" s="52"/>
      <c r="L54" s="52">
        <f>L55*E54</f>
        <v>6508.8450000000003</v>
      </c>
      <c r="M54" s="66"/>
    </row>
    <row r="55" spans="2:13">
      <c r="B55" s="145"/>
      <c r="C55" s="151"/>
      <c r="D55" s="139"/>
      <c r="E55" s="141"/>
      <c r="F55" s="53"/>
      <c r="G55" s="53"/>
      <c r="H55" s="53"/>
      <c r="I55" s="53"/>
      <c r="J55" s="53"/>
      <c r="K55" s="53"/>
      <c r="L55" s="53">
        <v>1</v>
      </c>
      <c r="M55" s="67"/>
    </row>
    <row r="56" spans="2:13">
      <c r="B56" s="144">
        <v>2</v>
      </c>
      <c r="C56" s="150" t="s">
        <v>9</v>
      </c>
      <c r="D56" s="138">
        <f t="shared" ref="D56" si="16">E56/$E$80</f>
        <v>5.447914461007549E-2</v>
      </c>
      <c r="E56" s="140">
        <f>ORÇAMENTO!J193</f>
        <v>482928.79162231676</v>
      </c>
      <c r="F56" s="52"/>
      <c r="G56" s="52"/>
      <c r="H56" s="52"/>
      <c r="I56" s="52"/>
      <c r="J56" s="52"/>
      <c r="K56" s="52"/>
      <c r="L56" s="52">
        <f>L57*E56</f>
        <v>386343.03329785343</v>
      </c>
      <c r="M56" s="66">
        <f>M57*E56</f>
        <v>96585.758324463357</v>
      </c>
    </row>
    <row r="57" spans="2:13">
      <c r="B57" s="145"/>
      <c r="C57" s="151"/>
      <c r="D57" s="139"/>
      <c r="E57" s="141"/>
      <c r="F57" s="53"/>
      <c r="G57" s="53"/>
      <c r="H57" s="53"/>
      <c r="I57" s="53"/>
      <c r="J57" s="53"/>
      <c r="K57" s="53"/>
      <c r="L57" s="53">
        <v>0.8</v>
      </c>
      <c r="M57" s="67">
        <v>0.2</v>
      </c>
    </row>
    <row r="58" spans="2:13">
      <c r="B58" s="144">
        <v>3</v>
      </c>
      <c r="C58" s="150" t="s">
        <v>10</v>
      </c>
      <c r="D58" s="138">
        <f t="shared" ref="D58" si="17">E58/$E$80</f>
        <v>1.8290468875538099E-3</v>
      </c>
      <c r="E58" s="140">
        <f>ORÇAMENTO!J198</f>
        <v>16213.532895</v>
      </c>
      <c r="F58" s="52"/>
      <c r="G58" s="52"/>
      <c r="H58" s="52"/>
      <c r="I58" s="52"/>
      <c r="J58" s="52"/>
      <c r="K58" s="52"/>
      <c r="L58" s="52"/>
      <c r="M58" s="66">
        <f>M59*E58</f>
        <v>16213.532895</v>
      </c>
    </row>
    <row r="59" spans="2:13">
      <c r="B59" s="145"/>
      <c r="C59" s="151"/>
      <c r="D59" s="139"/>
      <c r="E59" s="141"/>
      <c r="F59" s="53"/>
      <c r="G59" s="53"/>
      <c r="H59" s="53"/>
      <c r="I59" s="53"/>
      <c r="J59" s="53"/>
      <c r="K59" s="53"/>
      <c r="L59" s="53"/>
      <c r="M59" s="67">
        <v>1</v>
      </c>
    </row>
    <row r="60" spans="2:13">
      <c r="B60" s="144">
        <v>4</v>
      </c>
      <c r="C60" s="152" t="s">
        <v>12</v>
      </c>
      <c r="D60" s="138">
        <f t="shared" ref="D60" si="18">E60/$E$80</f>
        <v>9.3628378963939618E-4</v>
      </c>
      <c r="E60" s="140">
        <f>ORÇAMENTO!J203</f>
        <v>8299.6604000000007</v>
      </c>
      <c r="F60" s="52"/>
      <c r="G60" s="52"/>
      <c r="H60" s="52"/>
      <c r="I60" s="52"/>
      <c r="J60" s="52"/>
      <c r="K60" s="52"/>
      <c r="L60" s="52"/>
      <c r="M60" s="66">
        <f>M61*E60</f>
        <v>8299.6604000000007</v>
      </c>
    </row>
    <row r="61" spans="2:13">
      <c r="B61" s="145"/>
      <c r="C61" s="153"/>
      <c r="D61" s="139"/>
      <c r="E61" s="141"/>
      <c r="F61" s="53"/>
      <c r="G61" s="53"/>
      <c r="H61" s="53"/>
      <c r="I61" s="53"/>
      <c r="J61" s="53"/>
      <c r="K61" s="53"/>
      <c r="L61" s="53"/>
      <c r="M61" s="67">
        <v>1</v>
      </c>
    </row>
    <row r="62" spans="2:13">
      <c r="B62" s="154"/>
      <c r="C62" s="156" t="s">
        <v>102</v>
      </c>
      <c r="D62" s="134"/>
      <c r="E62" s="136"/>
      <c r="F62" s="83"/>
      <c r="G62" s="83"/>
      <c r="H62" s="83"/>
      <c r="I62" s="83"/>
      <c r="J62" s="83"/>
      <c r="K62" s="83"/>
      <c r="L62" s="83"/>
      <c r="M62" s="84"/>
    </row>
    <row r="63" spans="2:13">
      <c r="B63" s="155"/>
      <c r="C63" s="157"/>
      <c r="D63" s="135"/>
      <c r="E63" s="137"/>
      <c r="F63" s="85"/>
      <c r="G63" s="85"/>
      <c r="H63" s="85"/>
      <c r="I63" s="85"/>
      <c r="J63" s="85"/>
      <c r="K63" s="85"/>
      <c r="L63" s="85"/>
      <c r="M63" s="86"/>
    </row>
    <row r="64" spans="2:13">
      <c r="B64" s="144">
        <v>1</v>
      </c>
      <c r="C64" s="150" t="s">
        <v>14</v>
      </c>
      <c r="D64" s="138">
        <f t="shared" ref="D64" si="19">E64/$E$80</f>
        <v>1.9183886107813219E-4</v>
      </c>
      <c r="E64" s="140">
        <f>ORÇAMENTO!J209</f>
        <v>1700.55</v>
      </c>
      <c r="F64" s="52"/>
      <c r="G64" s="52"/>
      <c r="H64" s="52"/>
      <c r="I64" s="52"/>
      <c r="J64" s="52"/>
      <c r="K64" s="52"/>
      <c r="L64" s="52"/>
      <c r="M64" s="66">
        <f>M65*E64</f>
        <v>1700.55</v>
      </c>
    </row>
    <row r="65" spans="2:13">
      <c r="B65" s="145"/>
      <c r="C65" s="151"/>
      <c r="D65" s="139"/>
      <c r="E65" s="141"/>
      <c r="F65" s="53"/>
      <c r="G65" s="53"/>
      <c r="H65" s="53"/>
      <c r="I65" s="53"/>
      <c r="J65" s="53"/>
      <c r="K65" s="53"/>
      <c r="L65" s="53"/>
      <c r="M65" s="67">
        <v>1</v>
      </c>
    </row>
    <row r="66" spans="2:13">
      <c r="B66" s="144">
        <v>2</v>
      </c>
      <c r="C66" s="150" t="s">
        <v>9</v>
      </c>
      <c r="D66" s="138">
        <f t="shared" ref="D66" si="20">E66/$E$80</f>
        <v>1.516690540735398E-2</v>
      </c>
      <c r="E66" s="140">
        <f>ORÇAMENTO!J233</f>
        <v>134446.59150666665</v>
      </c>
      <c r="F66" s="52"/>
      <c r="G66" s="52"/>
      <c r="H66" s="52"/>
      <c r="I66" s="52"/>
      <c r="J66" s="52"/>
      <c r="K66" s="52"/>
      <c r="L66" s="52"/>
      <c r="M66" s="66">
        <f>M67*E66</f>
        <v>134446.59150666665</v>
      </c>
    </row>
    <row r="67" spans="2:13">
      <c r="B67" s="145"/>
      <c r="C67" s="151"/>
      <c r="D67" s="139"/>
      <c r="E67" s="141"/>
      <c r="F67" s="53"/>
      <c r="G67" s="53"/>
      <c r="H67" s="53"/>
      <c r="I67" s="53"/>
      <c r="J67" s="53"/>
      <c r="K67" s="53"/>
      <c r="L67" s="53"/>
      <c r="M67" s="67">
        <v>1</v>
      </c>
    </row>
    <row r="68" spans="2:13">
      <c r="B68" s="144">
        <v>3</v>
      </c>
      <c r="C68" s="150" t="s">
        <v>10</v>
      </c>
      <c r="D68" s="138">
        <f t="shared" ref="D68" si="21">E68/$E$80</f>
        <v>4.7787060294562721E-4</v>
      </c>
      <c r="E68" s="140">
        <f>ORÇAMENTO!J238</f>
        <v>4236.0700499999994</v>
      </c>
      <c r="F68" s="52"/>
      <c r="G68" s="52"/>
      <c r="H68" s="52"/>
      <c r="I68" s="52"/>
      <c r="J68" s="52"/>
      <c r="K68" s="52"/>
      <c r="L68" s="52"/>
      <c r="M68" s="66">
        <f>M69*E68</f>
        <v>4236.0700499999994</v>
      </c>
    </row>
    <row r="69" spans="2:13">
      <c r="B69" s="145"/>
      <c r="C69" s="151"/>
      <c r="D69" s="139"/>
      <c r="E69" s="141"/>
      <c r="F69" s="53"/>
      <c r="G69" s="53"/>
      <c r="H69" s="53"/>
      <c r="I69" s="53"/>
      <c r="J69" s="53"/>
      <c r="K69" s="53"/>
      <c r="L69" s="53"/>
      <c r="M69" s="67">
        <v>1</v>
      </c>
    </row>
    <row r="70" spans="2:13">
      <c r="B70" s="144">
        <v>4</v>
      </c>
      <c r="C70" s="152" t="s">
        <v>12</v>
      </c>
      <c r="D70" s="138">
        <f t="shared" ref="D70" si="22">E70/$E$80</f>
        <v>2.4471353410773268E-4</v>
      </c>
      <c r="E70" s="140">
        <f>ORÇAMENTO!J243</f>
        <v>2169.2560000000003</v>
      </c>
      <c r="F70" s="52"/>
      <c r="G70" s="52"/>
      <c r="H70" s="52"/>
      <c r="I70" s="52"/>
      <c r="J70" s="52"/>
      <c r="K70" s="52"/>
      <c r="L70" s="52"/>
      <c r="M70" s="66">
        <f>M71*E70</f>
        <v>2169.2560000000003</v>
      </c>
    </row>
    <row r="71" spans="2:13">
      <c r="B71" s="145"/>
      <c r="C71" s="153"/>
      <c r="D71" s="139"/>
      <c r="E71" s="141"/>
      <c r="F71" s="53"/>
      <c r="G71" s="53"/>
      <c r="H71" s="53"/>
      <c r="I71" s="53"/>
      <c r="J71" s="53"/>
      <c r="K71" s="53"/>
      <c r="L71" s="53"/>
      <c r="M71" s="67">
        <v>1</v>
      </c>
    </row>
    <row r="72" spans="2:13">
      <c r="B72" s="154"/>
      <c r="C72" s="156" t="s">
        <v>104</v>
      </c>
      <c r="D72" s="134"/>
      <c r="E72" s="136"/>
      <c r="F72" s="83"/>
      <c r="G72" s="83"/>
      <c r="H72" s="83"/>
      <c r="I72" s="83"/>
      <c r="J72" s="83"/>
      <c r="K72" s="83"/>
      <c r="L72" s="83"/>
      <c r="M72" s="84"/>
    </row>
    <row r="73" spans="2:13">
      <c r="B73" s="155"/>
      <c r="C73" s="157"/>
      <c r="D73" s="135"/>
      <c r="E73" s="137"/>
      <c r="F73" s="85"/>
      <c r="G73" s="85"/>
      <c r="H73" s="85"/>
      <c r="I73" s="85"/>
      <c r="J73" s="85"/>
      <c r="K73" s="85"/>
      <c r="L73" s="85"/>
      <c r="M73" s="86"/>
    </row>
    <row r="74" spans="2:13">
      <c r="B74" s="144">
        <v>1</v>
      </c>
      <c r="C74" s="142" t="s">
        <v>104</v>
      </c>
      <c r="D74" s="138">
        <f t="shared" ref="D74" si="23">E74/$E$80</f>
        <v>2.9126213592233011E-2</v>
      </c>
      <c r="E74" s="140">
        <f>ORÇAMENTO!J250</f>
        <v>258188.47258532784</v>
      </c>
      <c r="F74" s="52">
        <f>E74*F75</f>
        <v>172986.27663216967</v>
      </c>
      <c r="G74" s="52"/>
      <c r="H74" s="52"/>
      <c r="I74" s="52"/>
      <c r="J74" s="52"/>
      <c r="K74" s="52"/>
      <c r="L74" s="52"/>
      <c r="M74" s="66">
        <f>M75*E74</f>
        <v>85202.195953158196</v>
      </c>
    </row>
    <row r="75" spans="2:13">
      <c r="B75" s="145"/>
      <c r="C75" s="143"/>
      <c r="D75" s="139"/>
      <c r="E75" s="141"/>
      <c r="F75" s="53">
        <v>0.67</v>
      </c>
      <c r="G75" s="53"/>
      <c r="H75" s="53"/>
      <c r="I75" s="53"/>
      <c r="J75" s="53"/>
      <c r="K75" s="53"/>
      <c r="L75" s="53"/>
      <c r="M75" s="67">
        <v>0.33</v>
      </c>
    </row>
    <row r="76" spans="2:13">
      <c r="B76" s="68"/>
      <c r="C76" s="57"/>
      <c r="D76" s="55"/>
      <c r="E76" s="54"/>
      <c r="F76" s="56"/>
      <c r="G76" s="56"/>
      <c r="H76" s="56"/>
      <c r="I76" s="56"/>
      <c r="J76" s="56"/>
      <c r="K76" s="56"/>
      <c r="L76" s="56"/>
      <c r="M76" s="69"/>
    </row>
    <row r="77" spans="2:13" s="40" customFormat="1">
      <c r="B77" s="70"/>
      <c r="C77" s="64" t="s">
        <v>118</v>
      </c>
      <c r="D77" s="58"/>
      <c r="E77" s="59"/>
      <c r="F77" s="60">
        <f>F79/$E$80</f>
        <v>0.1539141953123026</v>
      </c>
      <c r="G77" s="60">
        <f t="shared" ref="G77:M77" si="24">G79/$E$80</f>
        <v>0.12752204506667805</v>
      </c>
      <c r="H77" s="60">
        <f t="shared" si="24"/>
        <v>0.12752204506667805</v>
      </c>
      <c r="I77" s="60">
        <f t="shared" si="24"/>
        <v>9.4285794701773215E-2</v>
      </c>
      <c r="J77" s="60">
        <f t="shared" si="24"/>
        <v>0.17301887085244835</v>
      </c>
      <c r="K77" s="60">
        <f t="shared" si="24"/>
        <v>0.11048054430087434</v>
      </c>
      <c r="L77" s="60">
        <f t="shared" si="24"/>
        <v>0.14906741667462206</v>
      </c>
      <c r="M77" s="71">
        <f t="shared" si="24"/>
        <v>6.4189088024623434E-2</v>
      </c>
    </row>
    <row r="78" spans="2:13" s="40" customFormat="1">
      <c r="B78" s="70"/>
      <c r="C78" s="64" t="s">
        <v>119</v>
      </c>
      <c r="D78" s="61">
        <f>SUM(D12:D75)</f>
        <v>1.0000000000000002</v>
      </c>
      <c r="E78" s="59"/>
      <c r="F78" s="62">
        <f>F77</f>
        <v>0.1539141953123026</v>
      </c>
      <c r="G78" s="62">
        <f>G77+F78</f>
        <v>0.28143624037898063</v>
      </c>
      <c r="H78" s="62">
        <f t="shared" ref="H78:M78" si="25">H77+G78</f>
        <v>0.40895828544565871</v>
      </c>
      <c r="I78" s="62">
        <f t="shared" si="25"/>
        <v>0.50324408014743194</v>
      </c>
      <c r="J78" s="62">
        <f t="shared" si="25"/>
        <v>0.67626295099988032</v>
      </c>
      <c r="K78" s="62">
        <f t="shared" si="25"/>
        <v>0.7867434953007546</v>
      </c>
      <c r="L78" s="62">
        <f t="shared" si="25"/>
        <v>0.93581091197537669</v>
      </c>
      <c r="M78" s="72">
        <f t="shared" si="25"/>
        <v>1.0000000000000002</v>
      </c>
    </row>
    <row r="79" spans="2:13" s="40" customFormat="1">
      <c r="B79" s="70"/>
      <c r="C79" s="64" t="s">
        <v>120</v>
      </c>
      <c r="D79" s="58"/>
      <c r="E79" s="59"/>
      <c r="F79" s="63">
        <f>F14+F16+F18+F20+F24+F26+F28+F30+F34+F36+F38+F40+F44+F46+F48+F50+F54+F56+F58+F60+F64+F66+F68+F70+F74</f>
        <v>1364367.9042263243</v>
      </c>
      <c r="G79" s="63">
        <f t="shared" ref="G79:M79" si="26">G14+G16+G18+G20+G24+G26+G28+G30+G34+G36+G38+G40+G44+G46+G48+G50+G54+G56+G58+G60+G64+G66+G68+G70+G74</f>
        <v>1130415.4565941545</v>
      </c>
      <c r="H79" s="63">
        <f t="shared" si="26"/>
        <v>1130415.4565941545</v>
      </c>
      <c r="I79" s="63">
        <f t="shared" si="26"/>
        <v>835793.68267203192</v>
      </c>
      <c r="J79" s="63">
        <f t="shared" si="26"/>
        <v>1533720.7444548896</v>
      </c>
      <c r="K79" s="63">
        <f t="shared" si="26"/>
        <v>979351.5690980514</v>
      </c>
      <c r="L79" s="63">
        <f t="shared" si="26"/>
        <v>1321403.7760721711</v>
      </c>
      <c r="M79" s="73">
        <f t="shared" si="26"/>
        <v>569002.30238447874</v>
      </c>
    </row>
    <row r="80" spans="2:13" s="40" customFormat="1" ht="15.75" thickBot="1">
      <c r="B80" s="74"/>
      <c r="C80" s="65" t="s">
        <v>121</v>
      </c>
      <c r="D80" s="75"/>
      <c r="E80" s="76">
        <f>SUM(E12:E79)</f>
        <v>8864470.892096255</v>
      </c>
      <c r="F80" s="77">
        <f>F79</f>
        <v>1364367.9042263243</v>
      </c>
      <c r="G80" s="77">
        <f>G79+F80</f>
        <v>2494783.3608204788</v>
      </c>
      <c r="H80" s="77">
        <f t="shared" ref="H80:L80" si="27">H79+G80</f>
        <v>3625198.817414633</v>
      </c>
      <c r="I80" s="77">
        <f t="shared" si="27"/>
        <v>4460992.5000866652</v>
      </c>
      <c r="J80" s="77">
        <f t="shared" si="27"/>
        <v>5994713.2445415547</v>
      </c>
      <c r="K80" s="77">
        <f t="shared" si="27"/>
        <v>6974064.8136396063</v>
      </c>
      <c r="L80" s="77">
        <f t="shared" si="27"/>
        <v>8295468.5897117779</v>
      </c>
      <c r="M80" s="78">
        <f>M79+L80</f>
        <v>8864470.8920962568</v>
      </c>
    </row>
    <row r="81" spans="2:13">
      <c r="B81" s="1"/>
      <c r="C81" s="50"/>
      <c r="D81" s="50"/>
      <c r="E81" s="47"/>
      <c r="F81" s="48"/>
      <c r="G81" s="48"/>
      <c r="H81" s="48"/>
      <c r="I81" s="48"/>
      <c r="J81" s="48"/>
      <c r="K81" s="48"/>
      <c r="L81" s="48"/>
      <c r="M81" s="48"/>
    </row>
    <row r="82" spans="2:13">
      <c r="B82" s="1"/>
      <c r="C82" s="50"/>
      <c r="D82" s="50"/>
      <c r="E82" s="47"/>
      <c r="F82" s="48"/>
      <c r="G82" s="48"/>
      <c r="H82" s="48"/>
      <c r="I82" s="48"/>
      <c r="J82" s="48"/>
      <c r="K82" s="48"/>
      <c r="L82" s="48"/>
      <c r="M82" s="48"/>
    </row>
    <row r="83" spans="2:13">
      <c r="B83" s="1"/>
      <c r="C83" s="50"/>
      <c r="D83" s="50"/>
      <c r="E83" s="47"/>
      <c r="F83" s="48"/>
      <c r="G83" s="48"/>
      <c r="H83" s="48"/>
      <c r="I83" s="48"/>
      <c r="J83" s="48"/>
      <c r="K83" s="48"/>
      <c r="L83" s="48"/>
      <c r="M83" s="48"/>
    </row>
    <row r="84" spans="2:13">
      <c r="B84" s="1"/>
      <c r="C84" s="50"/>
      <c r="D84" s="50"/>
      <c r="E84" s="47"/>
      <c r="F84" s="48"/>
      <c r="G84" s="48"/>
      <c r="H84" s="48"/>
      <c r="I84" s="48"/>
      <c r="J84" s="48"/>
      <c r="K84" s="48"/>
      <c r="L84" s="48"/>
      <c r="M84" s="48"/>
    </row>
    <row r="85" spans="2:13">
      <c r="B85" s="1"/>
      <c r="C85" s="50"/>
      <c r="D85" s="50"/>
      <c r="E85" s="47"/>
      <c r="F85" s="48"/>
      <c r="G85" s="48"/>
      <c r="H85" s="48"/>
      <c r="I85" s="48"/>
      <c r="J85" s="48"/>
      <c r="K85" s="48"/>
      <c r="L85" s="48"/>
      <c r="M85" s="48"/>
    </row>
  </sheetData>
  <mergeCells count="140">
    <mergeCell ref="B8:M8"/>
    <mergeCell ref="B10:B11"/>
    <mergeCell ref="B14:B15"/>
    <mergeCell ref="B16:B17"/>
    <mergeCell ref="B18:B19"/>
    <mergeCell ref="E1:M1"/>
    <mergeCell ref="F10:M10"/>
    <mergeCell ref="C10:C11"/>
    <mergeCell ref="E10:E11"/>
    <mergeCell ref="C14:C15"/>
    <mergeCell ref="C18:C19"/>
    <mergeCell ref="B12:B13"/>
    <mergeCell ref="C12:C13"/>
    <mergeCell ref="J2:L2"/>
    <mergeCell ref="J3:L3"/>
    <mergeCell ref="J4:J5"/>
    <mergeCell ref="L4:M4"/>
    <mergeCell ref="L5:M5"/>
    <mergeCell ref="C20:C21"/>
    <mergeCell ref="C16:C17"/>
    <mergeCell ref="B32:B33"/>
    <mergeCell ref="C32:C33"/>
    <mergeCell ref="B34:B35"/>
    <mergeCell ref="C34:C35"/>
    <mergeCell ref="B36:B37"/>
    <mergeCell ref="C36:C37"/>
    <mergeCell ref="C28:C29"/>
    <mergeCell ref="C30:C31"/>
    <mergeCell ref="B22:B23"/>
    <mergeCell ref="B24:B25"/>
    <mergeCell ref="B26:B27"/>
    <mergeCell ref="B28:B29"/>
    <mergeCell ref="B30:B31"/>
    <mergeCell ref="B20:B21"/>
    <mergeCell ref="C22:C23"/>
    <mergeCell ref="C24:C25"/>
    <mergeCell ref="C26:C27"/>
    <mergeCell ref="B44:B45"/>
    <mergeCell ref="C44:C45"/>
    <mergeCell ref="B46:B47"/>
    <mergeCell ref="C46:C47"/>
    <mergeCell ref="B48:B49"/>
    <mergeCell ref="C48:C49"/>
    <mergeCell ref="B38:B39"/>
    <mergeCell ref="C38:C39"/>
    <mergeCell ref="B40:B41"/>
    <mergeCell ref="C40:C41"/>
    <mergeCell ref="B42:B43"/>
    <mergeCell ref="C42:C43"/>
    <mergeCell ref="B56:B57"/>
    <mergeCell ref="C56:C57"/>
    <mergeCell ref="B58:B59"/>
    <mergeCell ref="C58:C59"/>
    <mergeCell ref="B60:B61"/>
    <mergeCell ref="C60:C61"/>
    <mergeCell ref="B50:B51"/>
    <mergeCell ref="C50:C51"/>
    <mergeCell ref="B52:B53"/>
    <mergeCell ref="C52:C53"/>
    <mergeCell ref="B54:B55"/>
    <mergeCell ref="C54:C55"/>
    <mergeCell ref="C70:C71"/>
    <mergeCell ref="B72:B73"/>
    <mergeCell ref="C72:C73"/>
    <mergeCell ref="B62:B63"/>
    <mergeCell ref="C62:C63"/>
    <mergeCell ref="B64:B65"/>
    <mergeCell ref="C64:C65"/>
    <mergeCell ref="B66:B67"/>
    <mergeCell ref="C66:C67"/>
    <mergeCell ref="E24:E25"/>
    <mergeCell ref="D26:D27"/>
    <mergeCell ref="E26:E27"/>
    <mergeCell ref="D28:D29"/>
    <mergeCell ref="E28:E29"/>
    <mergeCell ref="C74:C75"/>
    <mergeCell ref="B74:B75"/>
    <mergeCell ref="D10:D11"/>
    <mergeCell ref="E12:E13"/>
    <mergeCell ref="D12:D13"/>
    <mergeCell ref="D14:D15"/>
    <mergeCell ref="E14:E15"/>
    <mergeCell ref="D16:D17"/>
    <mergeCell ref="E16:E17"/>
    <mergeCell ref="D18:D19"/>
    <mergeCell ref="E18:E19"/>
    <mergeCell ref="D20:D21"/>
    <mergeCell ref="E20:E21"/>
    <mergeCell ref="D22:D23"/>
    <mergeCell ref="E22:E23"/>
    <mergeCell ref="D24:D25"/>
    <mergeCell ref="B68:B69"/>
    <mergeCell ref="C68:C69"/>
    <mergeCell ref="B70:B71"/>
    <mergeCell ref="D36:D37"/>
    <mergeCell ref="E36:E37"/>
    <mergeCell ref="D38:D39"/>
    <mergeCell ref="E38:E39"/>
    <mergeCell ref="D40:D41"/>
    <mergeCell ref="E40:E41"/>
    <mergeCell ref="D30:D31"/>
    <mergeCell ref="E30:E31"/>
    <mergeCell ref="D32:D33"/>
    <mergeCell ref="E32:E33"/>
    <mergeCell ref="D34:D35"/>
    <mergeCell ref="E34:E35"/>
    <mergeCell ref="D48:D49"/>
    <mergeCell ref="E48:E49"/>
    <mergeCell ref="D50:D51"/>
    <mergeCell ref="E50:E51"/>
    <mergeCell ref="D52:D53"/>
    <mergeCell ref="E52:E53"/>
    <mergeCell ref="D42:D43"/>
    <mergeCell ref="E42:E43"/>
    <mergeCell ref="D44:D45"/>
    <mergeCell ref="E44:E45"/>
    <mergeCell ref="D46:D47"/>
    <mergeCell ref="E46:E47"/>
    <mergeCell ref="D60:D61"/>
    <mergeCell ref="E60:E61"/>
    <mergeCell ref="D62:D63"/>
    <mergeCell ref="E62:E63"/>
    <mergeCell ref="D64:D65"/>
    <mergeCell ref="E64:E65"/>
    <mergeCell ref="D54:D55"/>
    <mergeCell ref="E54:E55"/>
    <mergeCell ref="D56:D57"/>
    <mergeCell ref="E56:E57"/>
    <mergeCell ref="D58:D59"/>
    <mergeCell ref="E58:E59"/>
    <mergeCell ref="D72:D73"/>
    <mergeCell ref="E72:E73"/>
    <mergeCell ref="D74:D75"/>
    <mergeCell ref="E74:E75"/>
    <mergeCell ref="D66:D67"/>
    <mergeCell ref="E66:E67"/>
    <mergeCell ref="D68:D69"/>
    <mergeCell ref="E68:E69"/>
    <mergeCell ref="D70:D71"/>
    <mergeCell ref="E70:E71"/>
  </mergeCells>
  <printOptions horizontalCentered="1"/>
  <pageMargins left="0" right="0" top="0.39370078740157483" bottom="0.78740157480314965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ORÇAMENTO</vt:lpstr>
      <vt:lpstr>CRONOGRAMA</vt:lpstr>
      <vt:lpstr>Plan2</vt:lpstr>
      <vt:lpstr>Plan3</vt:lpstr>
      <vt:lpstr>CRONOGRAMA!Area_de_impressao</vt:lpstr>
      <vt:lpstr>ORÇAMENTO!Area_de_impressao</vt:lpstr>
      <vt:lpstr>CRONOGRAMA!Titulos_de_impressao</vt:lpstr>
      <vt:lpstr>ORÇAMENTO!Titulos_de_impressao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PC</cp:lastModifiedBy>
  <cp:lastPrinted>2013-09-13T17:40:21Z</cp:lastPrinted>
  <dcterms:created xsi:type="dcterms:W3CDTF">2013-07-02T11:57:11Z</dcterms:created>
  <dcterms:modified xsi:type="dcterms:W3CDTF">2013-10-15T12:11:24Z</dcterms:modified>
</cp:coreProperties>
</file>