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80" yWindow="2535" windowWidth="12120" windowHeight="4500" tabRatio="637" activeTab="0"/>
  </bookViews>
  <sheets>
    <sheet name="ORÇAM Ref Ginásio Simolândia" sheetId="1" r:id="rId1"/>
    <sheet name="Cronograma Ginásio Simolândia" sheetId="2" r:id="rId2"/>
    <sheet name="REVEST GINÁSIO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 localSheetId="1">#REF!</definedName>
    <definedName name="\0" localSheetId="2">#REF!</definedName>
    <definedName name="\0">#REF!</definedName>
    <definedName name="_Fill" hidden="1">#REF!</definedName>
    <definedName name="A">#REF!</definedName>
    <definedName name="AA">#REF!</definedName>
    <definedName name="_xlnm.Print_Area" localSheetId="1">'Cronograma Ginásio Simolândia'!$A$1:$H$36</definedName>
    <definedName name="_xlnm.Print_Area" localSheetId="0">'ORÇAM Ref Ginásio Simolândia'!$A$1:$H$173</definedName>
    <definedName name="er" localSheetId="1">'[8]INSUMOS'!$C$14</definedName>
    <definedName name="er" localSheetId="2">'[4]INSUMOS'!$C$14</definedName>
    <definedName name="er">'[4]INSUMOS'!$C$14</definedName>
    <definedName name="Excel_BuiltIn__FilterDatabase_2">"$#REF!.$A$6:$G$2467"</definedName>
    <definedName name="Excel_BuiltIn__FilterDatabase_2_1">#REF!</definedName>
    <definedName name="Excel_BuiltIn_Print_Area">#REF!</definedName>
    <definedName name="Excel_BuiltIn_Print_Area_1_1_1">#REF!</definedName>
    <definedName name="Excel_BuiltIn_Print_Area_13">#REF!</definedName>
    <definedName name="Excel_BuiltIn_Print_Area_13_1">#REF!</definedName>
    <definedName name="Excel_BuiltIn_Print_Area_16">"$#REF!.$A$1:$H$233"</definedName>
    <definedName name="Excel_BuiltIn_Print_Area_17">"$#REF!.$A$1:$G$23"</definedName>
    <definedName name="Excel_BuiltIn_Print_Area_21">#REF!</definedName>
    <definedName name="Excel_BuiltIn_Print_Area_2_1">#REF!</definedName>
    <definedName name="Excel_BuiltIn_Print_Area_2_1_1">"$#REF!.$A$1:$F$2467"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3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9">#REF!</definedName>
    <definedName name="Excel_BuiltIn_Print_Titles_10">#REF!</definedName>
    <definedName name="Excel_BuiltIn_Print_Titles_10_1">"$BLH_QUA.$A$1:$AMJ$10"</definedName>
    <definedName name="Excel_BuiltIn_Print_Titles_11">#REF!</definedName>
    <definedName name="Excel_BuiltIn_Print_Titles_11_1">"$PA_02CD.$A$1:$AMJ$9"</definedName>
    <definedName name="Excel_BuiltIn_Print_Titles_12">#REF!</definedName>
    <definedName name="Excel_BuiltIn_Print_Titles_12_1">"$PA_02SD.$A$1:$AMJ$9"</definedName>
    <definedName name="Excel_BuiltIn_Print_Titles_13">#REF!</definedName>
    <definedName name="Excel_BuiltIn_Print_Titles_13_1">"$PA_01SD.$A$1:$AMJ$9"</definedName>
    <definedName name="Excel_BuiltIn_Print_Titles_14">"$PA_01CD.$A$1:$AMJ$9"</definedName>
    <definedName name="Excel_BuiltIn_Print_Titles_21">#REF!</definedName>
    <definedName name="Excel_BuiltIn_Print_Titles_2_1">"$#REF!.$A$1:$AMJ$6"</definedName>
    <definedName name="Excel_BuiltIn_Print_Titles_3">#REF!</definedName>
    <definedName name="Excel_BuiltIn_Print_Titles_3_1">"$BLA_ADM.$A$1:$AMJ$9"</definedName>
    <definedName name="Excel_BuiltIn_Print_Titles_3_1_1">"$BLB_AU_BI.$A$1:$AMJ$1"</definedName>
    <definedName name="Excel_BuiltIn_Print_Titles_4">#REF!</definedName>
    <definedName name="Excel_BuiltIn_Print_Titles_4_1">"$BLB_AU_BI.$A$1:$AMJ$8"</definedName>
    <definedName name="Excel_BuiltIn_Print_Titles_5">#REF!</definedName>
    <definedName name="Excel_BuiltIn_Print_Titles_5_1">"$BLC_LAB.$A$1:$AMJ$8"</definedName>
    <definedName name="Excel_BuiltIn_Print_Titles_6">#REF!</definedName>
    <definedName name="Excel_BuiltIn_Print_Titles_6_1">"$BLD_PAT.$A$1:$AMJ$8"</definedName>
    <definedName name="Excel_BuiltIn_Print_Titles_7">#REF!</definedName>
    <definedName name="Excel_BuiltIn_Print_Titles_7_1">"$BLE_4SL_SAN.$A$1:$AMJ$8"</definedName>
    <definedName name="Excel_BuiltIn_Print_Titles_8">#REF!</definedName>
    <definedName name="Excel_BuiltIn_Print_Titles_8_1">"$BLF_4SL.$A$1:$AMJ$8"</definedName>
    <definedName name="Excel_BuiltIn_Print_Titles_9">#REF!</definedName>
    <definedName name="Excel_BuiltIn_Print_Titles_9_1">"$BLG_VES.$A$1:$AMJ$10"</definedName>
    <definedName name="ijol" localSheetId="1">'[8]INSUMOS'!$C$61</definedName>
    <definedName name="ijol" localSheetId="2">'[4]INSUMOS'!$C$61</definedName>
    <definedName name="ijol">'[4]INSUMOS'!$C$61</definedName>
    <definedName name="INS01" localSheetId="1">'[8]INSUMOS'!$C$2</definedName>
    <definedName name="INS01" localSheetId="2">'[4]INSUMOS'!$C$2</definedName>
    <definedName name="INS01">'[4]INSUMOS'!$C$2</definedName>
    <definedName name="INS02" localSheetId="1">'[8]INSUMOS'!$C$3</definedName>
    <definedName name="INS02" localSheetId="2">'[4]INSUMOS'!$C$3</definedName>
    <definedName name="INS02">'[4]INSUMOS'!$C$3</definedName>
    <definedName name="INS03" localSheetId="1">'[8]INSUMOS'!$C$4</definedName>
    <definedName name="INS03" localSheetId="2">'[4]INSUMOS'!$C$4</definedName>
    <definedName name="INS03">'[4]INSUMOS'!$C$4</definedName>
    <definedName name="INS03A" localSheetId="1">'[8]INSUMOS'!$C$5</definedName>
    <definedName name="INS03A" localSheetId="2">'[4]INSUMOS'!$C$5</definedName>
    <definedName name="INS03A">'[4]INSUMOS'!$C$5</definedName>
    <definedName name="INS04" localSheetId="1">'[8]INSUMOS'!$C$6</definedName>
    <definedName name="INS04" localSheetId="2">'[4]INSUMOS'!$C$6</definedName>
    <definedName name="INS04">'[4]INSUMOS'!$C$6</definedName>
    <definedName name="INS04A" localSheetId="1">'[8]INSUMOS'!$C$7</definedName>
    <definedName name="INS04A" localSheetId="2">'[4]INSUMOS'!$C$7</definedName>
    <definedName name="INS04A">'[4]INSUMOS'!$C$7</definedName>
    <definedName name="INS04B" localSheetId="1">'[8]INSUMOS'!$C$8</definedName>
    <definedName name="INS04B" localSheetId="2">'[4]INSUMOS'!$C$8</definedName>
    <definedName name="INS04B">'[4]INSUMOS'!$C$8</definedName>
    <definedName name="INS05" localSheetId="1">'[7]INSUMOS'!$C$12</definedName>
    <definedName name="INS05" localSheetId="2">'[3]INSUMOS'!$C$12</definedName>
    <definedName name="INS05">'[3]INSUMOS'!$C$12</definedName>
    <definedName name="INS05A">#REF!</definedName>
    <definedName name="INS06" localSheetId="1">'[7]INSUMOS'!$C$14</definedName>
    <definedName name="INS06" localSheetId="2">'[3]INSUMOS'!$C$14</definedName>
    <definedName name="INS06">'[3]INSUMOS'!$C$14</definedName>
    <definedName name="INS06B">#REF!</definedName>
    <definedName name="INS07" localSheetId="1">'[8]INSUMOS'!$C$16</definedName>
    <definedName name="INS07" localSheetId="2">'[4]INSUMOS'!$C$16</definedName>
    <definedName name="INS07">'[4]INSUMOS'!$C$16</definedName>
    <definedName name="INS08" localSheetId="1">'[8]INSUMOS'!$C$17</definedName>
    <definedName name="INS08" localSheetId="2">'[4]INSUMOS'!$C$17</definedName>
    <definedName name="INS08">'[4]INSUMOS'!$C$17</definedName>
    <definedName name="INS09" localSheetId="1">'[8]INSUMOS'!$C$18</definedName>
    <definedName name="INS09" localSheetId="2">'[4]INSUMOS'!$C$18</definedName>
    <definedName name="INS09">'[4]INSUMOS'!$C$18</definedName>
    <definedName name="INS10" localSheetId="1">'[8]INSUMOS'!$C$19</definedName>
    <definedName name="INS10" localSheetId="2">'[4]INSUMOS'!$C$19</definedName>
    <definedName name="INS10">'[4]INSUMOS'!$C$19</definedName>
    <definedName name="INS11" localSheetId="1">'[7]INSUMOS'!$C$20</definedName>
    <definedName name="INS11" localSheetId="2">'[3]INSUMOS'!$C$20</definedName>
    <definedName name="INS11">'[3]INSUMOS'!$C$20</definedName>
    <definedName name="INS12">#REF!</definedName>
    <definedName name="INS13">#REF!</definedName>
    <definedName name="INS14" localSheetId="1">'[8]INSUMOS'!$C$23</definedName>
    <definedName name="INS14" localSheetId="2">'[4]INSUMOS'!$C$23</definedName>
    <definedName name="INS14">'[4]INSUMOS'!$C$23</definedName>
    <definedName name="INS15">#REF!</definedName>
    <definedName name="INS16" localSheetId="1">'[8]INSUMOS'!$C$25</definedName>
    <definedName name="INS16" localSheetId="2">'[4]INSUMOS'!$C$25</definedName>
    <definedName name="INS16">'[4]INSUMOS'!$C$25</definedName>
    <definedName name="INS17" localSheetId="1">'[8]INSUMOS'!$C$26</definedName>
    <definedName name="INS17" localSheetId="2">'[4]INSUMOS'!$C$26</definedName>
    <definedName name="INS17">'[4]INSUMOS'!$C$26</definedName>
    <definedName name="INS17A" localSheetId="1">'[8]INSUMOS'!$C$27</definedName>
    <definedName name="INS17A" localSheetId="2">'[4]INSUMOS'!$C$27</definedName>
    <definedName name="INS17A">'[4]INSUMOS'!$C$27</definedName>
    <definedName name="INS18">#REF!</definedName>
    <definedName name="INS19" localSheetId="1">'[8]INSUMOS'!$C$29</definedName>
    <definedName name="INS19" localSheetId="2">'[4]INSUMOS'!$C$29</definedName>
    <definedName name="INS19">'[4]INSUMOS'!$C$29</definedName>
    <definedName name="INS20" localSheetId="1">'[8]INSUMOS'!$C$30</definedName>
    <definedName name="INS20" localSheetId="2">'[4]INSUMOS'!$C$30</definedName>
    <definedName name="INS20">'[4]INSUMOS'!$C$30</definedName>
    <definedName name="INS21" localSheetId="1">'[8]INSUMOS'!$C$31</definedName>
    <definedName name="INS21" localSheetId="2">'[4]INSUMOS'!$C$31</definedName>
    <definedName name="INS21">'[4]INSUMOS'!$C$31</definedName>
    <definedName name="INS21B">#REF!</definedName>
    <definedName name="INS21C" localSheetId="1">'[8]INSUMOS'!$C$33</definedName>
    <definedName name="INS21C" localSheetId="2">'[4]INSUMOS'!$C$33</definedName>
    <definedName name="INS21C">'[4]INSUMOS'!$C$33</definedName>
    <definedName name="INS21D" localSheetId="1">'[8]INSUMOS'!$C$34</definedName>
    <definedName name="INS21D" localSheetId="2">'[4]INSUMOS'!$C$34</definedName>
    <definedName name="INS21D">'[4]INSUMOS'!$C$34</definedName>
    <definedName name="INS21E" localSheetId="1">'[8]INSUMOS'!$C$35</definedName>
    <definedName name="INS21E" localSheetId="2">'[4]INSUMOS'!$C$35</definedName>
    <definedName name="INS21E">'[4]INSUMOS'!$C$35</definedName>
    <definedName name="INS22" localSheetId="1">'[8]INSUMOS'!$C$36</definedName>
    <definedName name="INS22" localSheetId="2">'[4]INSUMOS'!$C$36</definedName>
    <definedName name="INS22">'[4]INSUMOS'!$C$36</definedName>
    <definedName name="INS23">#REF!</definedName>
    <definedName name="INS24">#REF!</definedName>
    <definedName name="INS24A" localSheetId="1">'[8]INSUMOS'!$C$38</definedName>
    <definedName name="INS24A" localSheetId="2">'[4]INSUMOS'!$C$38</definedName>
    <definedName name="INS24A">'[4]INSUMOS'!$C$38</definedName>
    <definedName name="INS24AA">#REF!</definedName>
    <definedName name="INS24BB">#REF!</definedName>
    <definedName name="INS24D" localSheetId="1">'[8]INSUMOS'!$C$39</definedName>
    <definedName name="INS24D" localSheetId="2">'[4]INSUMOS'!$C$39</definedName>
    <definedName name="INS24D">'[4]INSUMOS'!$C$39</definedName>
    <definedName name="INS25" localSheetId="1">'[8]INSUMOS'!$C$42</definedName>
    <definedName name="INS25" localSheetId="2">'[4]INSUMOS'!$C$42</definedName>
    <definedName name="INS25">'[4]INSUMOS'!$C$42</definedName>
    <definedName name="INS26" localSheetId="1">'[8]INSUMOS'!$C$43</definedName>
    <definedName name="INS26" localSheetId="2">'[4]INSUMOS'!$C$43</definedName>
    <definedName name="INS26">'[4]INSUMOS'!$C$43</definedName>
    <definedName name="INS27" localSheetId="1">'[8]INSUMOS'!$C$44</definedName>
    <definedName name="INS27" localSheetId="2">'[4]INSUMOS'!$C$44</definedName>
    <definedName name="INS27">'[4]INSUMOS'!$C$44</definedName>
    <definedName name="INS28" localSheetId="1">'[8]INSUMOS'!$C$45</definedName>
    <definedName name="INS28" localSheetId="2">'[4]INSUMOS'!$C$45</definedName>
    <definedName name="INS28">'[4]INSUMOS'!$C$45</definedName>
    <definedName name="INS29">#REF!</definedName>
    <definedName name="INS30" localSheetId="1">'[8]INSUMOS'!$C$47</definedName>
    <definedName name="INS30" localSheetId="2">'[4]INSUMOS'!$C$47</definedName>
    <definedName name="INS30">'[4]INSUMOS'!$C$47</definedName>
    <definedName name="INS31" localSheetId="1">'[8]INSUMOS'!$C$48</definedName>
    <definedName name="INS31" localSheetId="2">'[4]INSUMOS'!$C$48</definedName>
    <definedName name="INS31">'[4]INSUMOS'!$C$48</definedName>
    <definedName name="INS31A">#REF!</definedName>
    <definedName name="INS31B">#REF!</definedName>
    <definedName name="INS32">#REF!</definedName>
    <definedName name="INS33" localSheetId="1">'[7]INSUMOS'!$C$52</definedName>
    <definedName name="INS33" localSheetId="2">'[3]INSUMOS'!$C$52</definedName>
    <definedName name="INS33">'[3]INSUMOS'!$C$52</definedName>
    <definedName name="INS34">#REF!</definedName>
    <definedName name="INS35">#REF!</definedName>
    <definedName name="INS36">#REF!</definedName>
    <definedName name="INS37" localSheetId="1">'[7]INSUMOS'!$C$56</definedName>
    <definedName name="INS37" localSheetId="2">'[3]INSUMOS'!$C$56</definedName>
    <definedName name="INS37">'[3]INSUMOS'!$C$56</definedName>
    <definedName name="INS38">#REF!</definedName>
    <definedName name="INS39">#REF!</definedName>
    <definedName name="INS40">#REF!</definedName>
    <definedName name="INS41">#REF!</definedName>
    <definedName name="INS42" localSheetId="1">'[7]INSUMOS'!$C$61</definedName>
    <definedName name="INS42" localSheetId="2">'[3]INSUMOS'!$C$61</definedName>
    <definedName name="INS42">'[3]INSUMOS'!$C$61</definedName>
    <definedName name="INS43">#REF!</definedName>
    <definedName name="INS44">#REF!</definedName>
    <definedName name="INS45">#REF!</definedName>
    <definedName name="INS46">#REF!</definedName>
    <definedName name="INS47" localSheetId="1">'[7]INSUMOS'!$C$66</definedName>
    <definedName name="INS47" localSheetId="2">'[3]INSUMOS'!$C$66</definedName>
    <definedName name="INS47">'[3]INSUMOS'!$C$66</definedName>
    <definedName name="INS48">#REF!</definedName>
    <definedName name="INS4C" localSheetId="1">'[8]INSUMOS'!$C$9</definedName>
    <definedName name="INS4C" localSheetId="2">'[4]INSUMOS'!$C$9</definedName>
    <definedName name="INS4C">'[4]INSUMOS'!$C$9</definedName>
    <definedName name="INS4D">#REF!</definedName>
    <definedName name="INS4E">#REF!</definedName>
    <definedName name="lui" localSheetId="1">#REF!</definedName>
    <definedName name="lui" localSheetId="2">#REF!</definedName>
    <definedName name="lui">#REF!</definedName>
    <definedName name="_xlnm.Print_Titles" localSheetId="0">'ORÇAM Ref Ginásio Simolândia'!$1:$12</definedName>
    <definedName name="tre3" localSheetId="1">'[8]INSUMOS'!$C$66</definedName>
    <definedName name="tre3" localSheetId="2">'[4]INSUMOS'!$C$66</definedName>
    <definedName name="tre3">'[4]INSUMOS'!$C$66</definedName>
    <definedName name="XXXXXXXXXXXXX">#REF!</definedName>
  </definedNames>
  <calcPr fullCalcOnLoad="1"/>
</workbook>
</file>

<file path=xl/sharedStrings.xml><?xml version="1.0" encoding="utf-8"?>
<sst xmlns="http://schemas.openxmlformats.org/spreadsheetml/2006/main" count="484" uniqueCount="349">
  <si>
    <t>LAMPADA VAPOR METALICO OVOIDE 150 W</t>
  </si>
  <si>
    <t>LAMPADA MISTA DE 160 W</t>
  </si>
  <si>
    <t>LUM.TIPO ARANDELA BLINDADA A PROVA DE TEMPO 90 GR.ATE 200W</t>
  </si>
  <si>
    <t>LUMINARIA CIRCULAR COM VIDRO P/QUADRA 400 W, P/BASE E-40</t>
  </si>
  <si>
    <t>GAIOLA PADRÃO EM AÇO CA-50 8.0 MM P/ PROTEÇÃO DAS LUMINÁRIAS</t>
  </si>
  <si>
    <t>QUADRO DE DISTRIBUICAO SB-3E</t>
  </si>
  <si>
    <t>REATOR AFP V.METALICO 150 W</t>
  </si>
  <si>
    <t>REATOR EXTERNO V.M. AFP 1 X 400 W</t>
  </si>
  <si>
    <t>TOMADA HEXAGONAL 2P + T - 10A - 250V</t>
  </si>
  <si>
    <t>TOMADA TELEFONICA</t>
  </si>
  <si>
    <t>INTERRUPTOR SIMPLES (1 SECAO)</t>
  </si>
  <si>
    <t>DEMOLICAO-COBERTURA TELHA FIBROCIMENTO/FIBRA DE VIDRO</t>
  </si>
  <si>
    <t>DEMOL.PISO VINILICO C/TRANSP.ATE CAM.BASC.E CARGA</t>
  </si>
  <si>
    <t>020133</t>
  </si>
  <si>
    <t>FERRAMENTAS</t>
  </si>
  <si>
    <t>020200</t>
  </si>
  <si>
    <t>021602</t>
  </si>
  <si>
    <t>EPI/PPRA (&lt; 20 EMPREGADOS) (A&gt;=200M2) AREAS EDIF.COB. FECHADAS</t>
  </si>
  <si>
    <t>LIMPEZA DE FOSSA SÉPTICA</t>
  </si>
  <si>
    <t>ACABAMENTO CROMADO PARA VÁLVULA DE DESCARGA</t>
  </si>
  <si>
    <t xml:space="preserve">CANOPLA PARA REGISTRO </t>
  </si>
  <si>
    <t>REVISÃO DAS INSTALAÇÕES HIDRO-SANITÁRIAS (ENCANADOR)</t>
  </si>
  <si>
    <t>M</t>
  </si>
  <si>
    <t>UN</t>
  </si>
  <si>
    <t>QUANT.</t>
  </si>
  <si>
    <t>261304</t>
  </si>
  <si>
    <t>ORÇAMENTO ANALÍTICO</t>
  </si>
  <si>
    <t>150000</t>
  </si>
  <si>
    <t>ESTRUTURA METÁLICA</t>
  </si>
  <si>
    <t>COBERTURA C/TELHA ONDULADA</t>
  </si>
  <si>
    <t>160501</t>
  </si>
  <si>
    <t>PINTURA</t>
  </si>
  <si>
    <t>OBRA:</t>
  </si>
  <si>
    <t>LOCAL:</t>
  </si>
  <si>
    <t>DATA:</t>
  </si>
  <si>
    <t>CÓDIGO</t>
  </si>
  <si>
    <t>DESCRIÇÃO DOS SERVIÇOS</t>
  </si>
  <si>
    <t>UNID.</t>
  </si>
  <si>
    <t>P.MAT.</t>
  </si>
  <si>
    <t>P.M.O.</t>
  </si>
  <si>
    <t>P. UNIT.</t>
  </si>
  <si>
    <t>P. TOTAL</t>
  </si>
  <si>
    <t>020000</t>
  </si>
  <si>
    <t>M2</t>
  </si>
  <si>
    <t>TOTAL DO ITEM</t>
  </si>
  <si>
    <t>160000</t>
  </si>
  <si>
    <t>070101</t>
  </si>
  <si>
    <t>070102</t>
  </si>
  <si>
    <t>080000</t>
  </si>
  <si>
    <t>180000</t>
  </si>
  <si>
    <t>170000</t>
  </si>
  <si>
    <t>200000</t>
  </si>
  <si>
    <t>200101</t>
  </si>
  <si>
    <t>220000</t>
  </si>
  <si>
    <t>190000</t>
  </si>
  <si>
    <t>230000</t>
  </si>
  <si>
    <t>FECHAD. (ALAV.) LAFONTE 6236 I /8766- I18 IMAB</t>
  </si>
  <si>
    <t>260000</t>
  </si>
  <si>
    <t>261503</t>
  </si>
  <si>
    <t>270000</t>
  </si>
  <si>
    <t>270501</t>
  </si>
  <si>
    <t>CUSTO TOTAL R$</t>
  </si>
  <si>
    <t>VALOR GLOBAL</t>
  </si>
  <si>
    <t>SERVICOS PRELIMINARES</t>
  </si>
  <si>
    <t>M3</t>
  </si>
  <si>
    <t>COBERTURAS</t>
  </si>
  <si>
    <t>INSTALACOES ELETRICAS</t>
  </si>
  <si>
    <t>INSTALACOES HIDRO-SANITARIAS</t>
  </si>
  <si>
    <t>ESQUADRIAS METALICAS</t>
  </si>
  <si>
    <t>ESQUADRIAS DE MADEIRA</t>
  </si>
  <si>
    <t>REVESTIMENTO DE PAREDES</t>
  </si>
  <si>
    <t>CHAPISCO COMUM</t>
  </si>
  <si>
    <t>REVESTIMENTO DE PISO</t>
  </si>
  <si>
    <t>FERRAGENS</t>
  </si>
  <si>
    <t>LIMPEZA FINAL DE OBRA - (OBRAS CIVIS)</t>
  </si>
  <si>
    <t>VIDROS</t>
  </si>
  <si>
    <t>H</t>
  </si>
  <si>
    <t>DIVERSOS</t>
  </si>
  <si>
    <t>RETIRADA DE JANELAS OU PORTAIS</t>
  </si>
  <si>
    <t>020106</t>
  </si>
  <si>
    <t>DEM.PISO/CERAM.SOBRE LASTRO CONC.C/TR.CB.E CARGA</t>
  </si>
  <si>
    <t>020111</t>
  </si>
  <si>
    <t>DEMOL.-REVEST.C/AZULEJOS C/TRANSP.ATE CB. E CARGA</t>
  </si>
  <si>
    <t>020115</t>
  </si>
  <si>
    <t>DEMOL.REVEST.C/ARGAMASSA C/TR.ATE CB.E CARGA</t>
  </si>
  <si>
    <t>020117</t>
  </si>
  <si>
    <t>TRANSP.DE ENTULHO EM CAMINHAO SEM CARGA</t>
  </si>
  <si>
    <t>030106</t>
  </si>
  <si>
    <t>021301</t>
  </si>
  <si>
    <t>PLACA DE OBRA</t>
  </si>
  <si>
    <t>020102</t>
  </si>
  <si>
    <t>030000</t>
  </si>
  <si>
    <t>TRANSPORTES</t>
  </si>
  <si>
    <t>REFERÊNCIA: TABELA DA AGETOP DE JUNHO 2012</t>
  </si>
  <si>
    <t>REVISÃO DAS INSTALAÇÕES ELÉTRICAS (ELETRICISTA)</t>
  </si>
  <si>
    <t>070541</t>
  </si>
  <si>
    <t>070646</t>
  </si>
  <si>
    <t>070648</t>
  </si>
  <si>
    <t>070682</t>
  </si>
  <si>
    <t>070691</t>
  </si>
  <si>
    <t>071171</t>
  </si>
  <si>
    <t>071175</t>
  </si>
  <si>
    <t>DISJUNTOR TRIPOLAR DE 60 A 100-A</t>
  </si>
  <si>
    <t>071291</t>
  </si>
  <si>
    <t>071292</t>
  </si>
  <si>
    <t>071301</t>
  </si>
  <si>
    <t>071321</t>
  </si>
  <si>
    <t>071380</t>
  </si>
  <si>
    <t>071440</t>
  </si>
  <si>
    <t>071522</t>
  </si>
  <si>
    <t>071525</t>
  </si>
  <si>
    <t>071560</t>
  </si>
  <si>
    <t>071621</t>
  </si>
  <si>
    <t>071660</t>
  </si>
  <si>
    <t>180708</t>
  </si>
  <si>
    <t>072220</t>
  </si>
  <si>
    <t>072236</t>
  </si>
  <si>
    <t>072250</t>
  </si>
  <si>
    <t>072578</t>
  </si>
  <si>
    <t>072590</t>
  </si>
  <si>
    <t>CABO DE COBRE NU No. 16 MM2 (6,94 M/KG)</t>
  </si>
  <si>
    <t>CAIXA DE PASSAGEM METALICA 20X20X12 CM</t>
  </si>
  <si>
    <t>CAIXA DE PASSAGEM METALICA 40X40X12 CM</t>
  </si>
  <si>
    <t>CAIXA METALICA OCTOGONAL FUNDO MOVEL,DUPLA 4"</t>
  </si>
  <si>
    <t>CAIXA METALICA RET. 4" X 2" X 2"</t>
  </si>
  <si>
    <t>DISJUNTOR MONOPOLAR DE 10 A 30-A</t>
  </si>
  <si>
    <t>FIO ISOLADO 750 V, PIRASTIC No. 2,5 MM2</t>
  </si>
  <si>
    <t>FIO ISOLADO 750 V, PIRASTIC No. 4 MM2</t>
  </si>
  <si>
    <t>FIO TELEFONICO FEAA-80 (USO INTERNO E EXTERNO)</t>
  </si>
  <si>
    <t>FITA DE AUTO FUSAO, ROLO E 10,00 MM</t>
  </si>
  <si>
    <t>HASTE COPPERWELD 3/4" X 2,40 M C/CONECTOR</t>
  </si>
  <si>
    <t>LAMPADA A VAPOR MERCURIO 400 W</t>
  </si>
  <si>
    <t>REFORMA DA ESTRUTURA DE SUSTENTAÇÃO DAS TABELAS BASQUETE</t>
  </si>
  <si>
    <t>081791</t>
  </si>
  <si>
    <t>GRELHA REDONDA BRANCA DIAM. 100 MM</t>
  </si>
  <si>
    <t>REVISÃO GERAL NA COBERTURA COM ELIMINAÇÃO DE GOTEIRAS</t>
  </si>
  <si>
    <t>FOLHA DE PORTA LISA 60/70/80X210</t>
  </si>
  <si>
    <t>170107</t>
  </si>
  <si>
    <t>ALIZAR</t>
  </si>
  <si>
    <t>170010</t>
  </si>
  <si>
    <t>REFORMA ESQUADRIAS METÁLICAS (SERRALHEIRO)</t>
  </si>
  <si>
    <t>REB.PAULISTA C/IMPERM.A-15 (1CI:4ARMLC+5% IMPXCI)</t>
  </si>
  <si>
    <t>200505</t>
  </si>
  <si>
    <t>AZULEJO</t>
  </si>
  <si>
    <t>201101</t>
  </si>
  <si>
    <t xml:space="preserve">CERAMICA ESMALTADA </t>
  </si>
  <si>
    <t>220305</t>
  </si>
  <si>
    <t>230102</t>
  </si>
  <si>
    <t>TP</t>
  </si>
  <si>
    <t>CHAPISCO + REBOCO + MASSA ACRÍLICA + PINTURA ACRÍLICA BRANCO NEVE</t>
  </si>
  <si>
    <t>PORTA</t>
  </si>
  <si>
    <t xml:space="preserve">CHAPISCO + EMBOÇO + CERAMICA  </t>
  </si>
  <si>
    <t>JANELA</t>
  </si>
  <si>
    <t>REVESTIMENTO DE PAREDE</t>
  </si>
  <si>
    <t>TETOS</t>
  </si>
  <si>
    <t xml:space="preserve">PINTURA </t>
  </si>
  <si>
    <t>CÔMODO</t>
  </si>
  <si>
    <t>Q</t>
  </si>
  <si>
    <t>L1</t>
  </si>
  <si>
    <t>L2</t>
  </si>
  <si>
    <t>P</t>
  </si>
  <si>
    <t>PD</t>
  </si>
  <si>
    <t>ABERTURA</t>
  </si>
  <si>
    <t>DESCONTOS</t>
  </si>
  <si>
    <t>CHAPISCO</t>
  </si>
  <si>
    <t>EMBOÇO</t>
  </si>
  <si>
    <t>MASSA PVA</t>
  </si>
  <si>
    <t>PINTURA PVA</t>
  </si>
  <si>
    <t>ÁREA</t>
  </si>
  <si>
    <t>LARGURA</t>
  </si>
  <si>
    <t>ALTURA</t>
  </si>
  <si>
    <t>J1</t>
  </si>
  <si>
    <t>GINÁSIO PADRÃO 800 LUGARES - PINTURA</t>
  </si>
  <si>
    <t>BANHEIRO FEM./MASC.</t>
  </si>
  <si>
    <t>EXTERNA</t>
  </si>
  <si>
    <t>ESQ. METÁLICA</t>
  </si>
  <si>
    <t>ESQ. DE MADEIRA</t>
  </si>
  <si>
    <t>BAR</t>
  </si>
  <si>
    <t>BILHETERIA</t>
  </si>
  <si>
    <t>PM2</t>
  </si>
  <si>
    <t>PM1</t>
  </si>
  <si>
    <t>PM3</t>
  </si>
  <si>
    <t>PINTURA ESMALTE</t>
  </si>
  <si>
    <t>JB</t>
  </si>
  <si>
    <t>HALL</t>
  </si>
  <si>
    <t>PE</t>
  </si>
  <si>
    <t>PAREDE</t>
  </si>
  <si>
    <t>LATERAIS QUADRA</t>
  </si>
  <si>
    <t>MURETAS QUADRA</t>
  </si>
  <si>
    <t>G</t>
  </si>
  <si>
    <t>NOVACOR PISO ARQ.</t>
  </si>
  <si>
    <t>MURETAS PALCO</t>
  </si>
  <si>
    <t>PAREDES FUNDOS QUAD.</t>
  </si>
  <si>
    <t>PALCO</t>
  </si>
  <si>
    <t>HALL VESTIÁRIOS</t>
  </si>
  <si>
    <t>VESTIÁRIO JUIZ</t>
  </si>
  <si>
    <t>DEPÓSITO</t>
  </si>
  <si>
    <t>J2</t>
  </si>
  <si>
    <t>VESTIÁRIOS</t>
  </si>
  <si>
    <t>Pm1</t>
  </si>
  <si>
    <t>Pm2</t>
  </si>
  <si>
    <t>EXTERNO FRONTAL 1</t>
  </si>
  <si>
    <t>EXTERNO FRONTAL 2</t>
  </si>
  <si>
    <t>EXTERNO FRONTAL 3</t>
  </si>
  <si>
    <t xml:space="preserve">EXTERNO LATERAL </t>
  </si>
  <si>
    <t>EXTERNO FUNDOS 1</t>
  </si>
  <si>
    <t>EXTERNO FUNDOS 2</t>
  </si>
  <si>
    <t>EXTERNO FUNDOS 3</t>
  </si>
  <si>
    <t>PINTURA CAIXA D'AGUA</t>
  </si>
  <si>
    <t>EMASSAMENTO ACRILICO 2 DEMAOS</t>
  </si>
  <si>
    <t>PINTURA PVA LATEX 2 DEMAOS SEM SELADOR</t>
  </si>
  <si>
    <t>261307</t>
  </si>
  <si>
    <t>PINTURA ESMALTE 1 DEMÃO EM PAREDE SEM SELADOR</t>
  </si>
  <si>
    <t>261548</t>
  </si>
  <si>
    <t>PINT.POLIESPORTIVA - 2 DEM.(PISOS E CIMENTADOS)</t>
  </si>
  <si>
    <t>261703</t>
  </si>
  <si>
    <t>PINTURA LATEX ACRILICO 2 DEMAOS</t>
  </si>
  <si>
    <t>261001</t>
  </si>
  <si>
    <t>PINT.ESMALTE 2 DEM. ESQ.FERRO (S/FUNDO ANTICOR.)</t>
  </si>
  <si>
    <t>PINTURA ESMALTE SINTETICO 2 DEMÃOS EM ESQ. MADEIRA</t>
  </si>
  <si>
    <t>261560</t>
  </si>
  <si>
    <t>EMASSAMENTO/OLEO/ESQUADRIAS MADEIRA</t>
  </si>
  <si>
    <t>261501</t>
  </si>
  <si>
    <t>BANCADA DE ARDOSIA POLIDA</t>
  </si>
  <si>
    <t>271304</t>
  </si>
  <si>
    <t>261620</t>
  </si>
  <si>
    <t>LETREIRO EM PAREDE FEITO A PINCEL</t>
  </si>
  <si>
    <t>221003</t>
  </si>
  <si>
    <t>PISO VINÍLICO TRÁFEGO INT.C/ REGULARIZ. E=2CM E NATA DE CIMENTO</t>
  </si>
  <si>
    <t>PINTURA ESMALTE ALQUIDICO EST.METALICA 1 DEMAO</t>
  </si>
  <si>
    <t>261610</t>
  </si>
  <si>
    <t>RODAPE DE PLASTICO P/ PISO VINILICO/BORRACHA</t>
  </si>
  <si>
    <t>221002</t>
  </si>
  <si>
    <t>250000</t>
  </si>
  <si>
    <t>ADMINISTRAÇÃO</t>
  </si>
  <si>
    <t>MESTRE DE OBRA - (OBRAS CIVIS)</t>
  </si>
  <si>
    <t>250102</t>
  </si>
  <si>
    <t>VIGIA DE OBRAS - (NOTURNO E NO SÁBADO/DOMINGO DIURNO)</t>
  </si>
  <si>
    <t>250110</t>
  </si>
  <si>
    <t>250101</t>
  </si>
  <si>
    <t>ENGENHEIRO - (OBRAS CIVIS)</t>
  </si>
  <si>
    <t>271502</t>
  </si>
  <si>
    <t>CANTINA</t>
  </si>
  <si>
    <t>REF</t>
  </si>
  <si>
    <t>TRANSPORTE</t>
  </si>
  <si>
    <t>VIAG</t>
  </si>
  <si>
    <t>REDE PROTECAO DE NYLON COM GANCHOS E BUCHAS S8</t>
  </si>
  <si>
    <t>270603</t>
  </si>
  <si>
    <t>271500</t>
  </si>
  <si>
    <t>CAFÉ DA MANHÃ</t>
  </si>
  <si>
    <t>PLACA DE INAUGURAÇÃO EM DURALUMÍNIO 42 X 60 CM</t>
  </si>
  <si>
    <t>270805</t>
  </si>
  <si>
    <t>MASTRO P/BANDEIRA FERRO GALVANIZADO 3UN (ASSENT.PINTADO)</t>
  </si>
  <si>
    <t>270802</t>
  </si>
  <si>
    <t>CJ</t>
  </si>
  <si>
    <t xml:space="preserve">BDI </t>
  </si>
  <si>
    <t>SIFAO P/PIA 1.1/2"X2" PVC CROMADO</t>
  </si>
  <si>
    <t>080672</t>
  </si>
  <si>
    <t>DOBRADICA 3" x 3 1/2" FERRO POLIDO</t>
  </si>
  <si>
    <t>230201</t>
  </si>
  <si>
    <t>071211</t>
  </si>
  <si>
    <t>ELETRODUTO FERRO GALVANIZADO DIAMETRO 3/4"</t>
  </si>
  <si>
    <t>071577</t>
  </si>
  <si>
    <t>LAMPADA COMPACTA FLUORESCENTE 25/26W</t>
  </si>
  <si>
    <t>071641</t>
  </si>
  <si>
    <t xml:space="preserve">LUMINARIA PLAFON SOBREPOR P/LÂMP.INCANDESCENTE ATÉ 100W </t>
  </si>
  <si>
    <t>072185</t>
  </si>
  <si>
    <t>QUADRO DE DISTRIBUICAO CB-20E - 100A</t>
  </si>
  <si>
    <t>160911</t>
  </si>
  <si>
    <t>COB.C/TELHA FIBER-GLASS C/VÉU PROTEÇÃO 1,5 MM C/ ACESSÓRIOS</t>
  </si>
  <si>
    <t>180304</t>
  </si>
  <si>
    <t>PORTAO DE ABRIR CHAPA 14 PT-4 C/FERRAGENS</t>
  </si>
  <si>
    <t>261010</t>
  </si>
  <si>
    <t>FUNDO SUPER GALVITE 1 DEMAO</t>
  </si>
  <si>
    <t>CRONOGRAMA FÍSICO-FINANCEIRO</t>
  </si>
  <si>
    <t>ITEM</t>
  </si>
  <si>
    <t>DISCRIMINAÇÃO DOS SERVIÇOS</t>
  </si>
  <si>
    <t>%</t>
  </si>
  <si>
    <t>VALOR (R$)</t>
  </si>
  <si>
    <t>1.0</t>
  </si>
  <si>
    <t>SERVIÇOS PRELIMINARES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</si>
  <si>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</si>
  <si>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</si>
  <si>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</si>
  <si>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</si>
  <si>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</si>
  <si>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</si>
  <si>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</si>
  <si>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</si>
  <si>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</si>
  <si>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</si>
  <si>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COBERTURA</t>
  </si>
  <si>
    <t>12.0</t>
  </si>
  <si>
    <t>13.0</t>
  </si>
  <si>
    <t>ESQUADRIAS METÁLICAS</t>
  </si>
  <si>
    <t>14.0</t>
  </si>
  <si>
    <t>15.0</t>
  </si>
  <si>
    <t>REVESTIMENTO DE PISOS</t>
  </si>
  <si>
    <t>SUB-TOTAL MENSAL</t>
  </si>
  <si>
    <t>ACUMULADO</t>
  </si>
  <si>
    <t>OBRA: CENTRO CULTURAL SESI</t>
  </si>
  <si>
    <t>ÁREA :    3.315,19 m²</t>
  </si>
  <si>
    <t>DATA :    18/09/2006</t>
  </si>
  <si>
    <r>
      <t>LOCAL: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Av. João Leite, Quadra 75, Chácara 44, Goiânia - GO</t>
    </r>
  </si>
  <si>
    <t>VALOR</t>
  </si>
  <si>
    <t>DATA: MARÇO/2013</t>
  </si>
  <si>
    <t>PRAZO: 45 DIAS CORRIDOS</t>
  </si>
  <si>
    <t>INSTALAÇÕES ELÉTRICAS</t>
  </si>
  <si>
    <t>INSTALAÇÕES HIDRO-SANITÁRIAS</t>
  </si>
  <si>
    <t>VALOR TOTAL COM BDI = 24,09%</t>
  </si>
  <si>
    <t>VALOR   TOTAL   COM   BDI    =</t>
  </si>
  <si>
    <t>1ª PARCELA - (00 - 20 DIAS)</t>
  </si>
  <si>
    <t>2ª PARCELA (21 - 45 DIAS)</t>
  </si>
  <si>
    <t>REFORMA DO GINÁSIO DE ESPORTES RIO CORRENTE</t>
  </si>
  <si>
    <t xml:space="preserve">SIMOLÂNDIA - GO </t>
  </si>
  <si>
    <t>JANEIRO/2013</t>
  </si>
  <si>
    <t>070705</t>
  </si>
  <si>
    <t>CAIXA P/QUADRO DISTRIB.60X60X20 CM (ELSOL/PAINEL)</t>
  </si>
  <si>
    <t>080688</t>
  </si>
  <si>
    <t>CUBA INOX 46X30X15CM E=0,6MM-AÇO 304 (CUBA Nº 1)</t>
  </si>
  <si>
    <t>080661</t>
  </si>
  <si>
    <t>TORNEIRA P/PIA OU BEBED .1/2" E 3/4" DE PAREDES-2a.LINHA</t>
  </si>
  <si>
    <t>080514</t>
  </si>
  <si>
    <t>TUBO DE LIGACAO PVC CROMADO 1.1/2" (ENTRADA)</t>
  </si>
  <si>
    <t>082304</t>
  </si>
  <si>
    <t>TUBO SOLDAVEL P/ESGOTO DIAM. 100 MM</t>
  </si>
  <si>
    <t>081826</t>
  </si>
  <si>
    <t>TAMPA DE CONCRETO P/CAIXA DE PASSAGEM</t>
  </si>
  <si>
    <t>080845</t>
  </si>
  <si>
    <t>CAIXA ALV.P/REGISTRO DE GAVETA BRUTO</t>
  </si>
  <si>
    <t>160910</t>
  </si>
  <si>
    <t>FECH.LAT.TELHA PINT.ELETROSTICA.# 0,5 MM C/ ACESSORIOS</t>
  </si>
  <si>
    <t>180232</t>
  </si>
  <si>
    <t>PORTAO TUBO GALVANIZADO DIAMETRO 1.1/2" C/FERRAGENS</t>
  </si>
  <si>
    <t>210000</t>
  </si>
  <si>
    <t>FORROS</t>
  </si>
  <si>
    <t>210101</t>
  </si>
  <si>
    <t>CHAPISCO EM FORRO</t>
  </si>
  <si>
    <t>210401</t>
  </si>
  <si>
    <t>REBOCO PAULISTA EM FORRO(1CALH:4ARML+150KG CI/M3)</t>
  </si>
  <si>
    <t>220102</t>
  </si>
  <si>
    <t>PISO CONCRETO DESEMPEN. ESPES. = 5 CM 1:2,5:3,5</t>
  </si>
  <si>
    <t>190101</t>
  </si>
  <si>
    <t>VIDRO LISO 3 MM</t>
  </si>
  <si>
    <t>230103</t>
  </si>
  <si>
    <t>FECHADURA TIPO LIVRE OCUPADO (819 IMAB/719 LA FONTE)</t>
  </si>
  <si>
    <t>OBRA: REFORMA DO GINÁSIO DE ESPORTES RIO CORRENTE</t>
  </si>
  <si>
    <t xml:space="preserve">LOCAL: SIMOLÂNDIA - GO </t>
  </si>
  <si>
    <t>16.0</t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</si>
</sst>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_);_(&quot;R$&quot;* \(#,##0\);_(&quot;R$&quot;* &quot;-&quot;_);_(@_)"/>
    <numFmt numFmtId="165" formatCode="_(&quot;R$&quot;* #,##0.00_);_(&quot;R$&quot;* \(#,##0.00\);_(&quot;R$&quot;* &quot;-&quot;??_);_(@_)"/>
    <numFmt numFmtId="166" formatCode="#,##0.000"/>
    <numFmt numFmtId="167" formatCode="[$€]#\!#0.00_);[Red]\([$€]#,##0.00\)"/>
    <numFmt numFmtId="168" formatCode="#,##0.00&quot; &quot;;&quot; (&quot;#,##0.00&quot;)&quot;;&quot; -&quot;#&quot; &quot;;@&quot; &quot;"/>
    <numFmt numFmtId="169" formatCode="[$R$-416]&quot; &quot;#,##0.00;[Red]&quot;-&quot;[$R$-416]&quot; &quot;#,##0.00"/>
    <numFmt numFmtId="170" formatCode="General_)"/>
    <numFmt numFmtId="171" formatCode="#,#00"/>
    <numFmt numFmtId="172" formatCode="%#,#00"/>
    <numFmt numFmtId="173" formatCode="#.##000"/>
    <numFmt numFmtId="174" formatCode="#,"/>
    <numFmt numFmtId="175" formatCode="#,##0.00000"/>
    <numFmt numFmtId="176" formatCode="#,##0.000000"/>
    <numFmt numFmtId="177" formatCode="_-* #,##0.00_-;\-* #,##0.00_-;_-* &quot;-&quot;??_-;_-@_-"/>
    <numFmt numFmtId="178" formatCode="000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#,##0.0"/>
    <numFmt numFmtId="184" formatCode="#,##0.0000"/>
    <numFmt numFmtId="185" formatCode="0.0000"/>
    <numFmt numFmtId="186" formatCode="0.000"/>
    <numFmt numFmtId="187" formatCode="0.00000"/>
    <numFmt numFmtId="188" formatCode="0.0"/>
    <numFmt numFmtId="189" formatCode="_-[$R$-416]\ * #,##0.00_-;\-[$R$-416]\ * #,##0.00_-;_-[$R$-416]\ * &quot;-&quot;??_-;_-@_-"/>
    <numFmt numFmtId="190" formatCode="&quot;R$&quot;\ #,##0.00"/>
    <numFmt numFmtId="191" formatCode="dd/mm/yyyy"/>
    <numFmt numFmtId="192" formatCode="#,##0.0000000"/>
    <numFmt numFmtId="193" formatCode="_(* #,##0.00_);_(* \(#,##0.00\);_(* \-??_);_(@_)"/>
    <numFmt numFmtId="194" formatCode="#,##0.000000000"/>
    <numFmt numFmtId="195" formatCode="0.0%"/>
    <numFmt numFmtId="196" formatCode="&quot;R$ &quot;#,##0.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8"/>
      <name val="Times New Roman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"/>
      <color indexed="8"/>
      <name val="Courier"/>
      <family val="3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2"/>
      <name val="Courier"/>
      <family val="3"/>
    </font>
    <font>
      <b/>
      <i/>
      <u val="single"/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sz val="10"/>
      <name val="Helv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color indexed="10"/>
      <name val="Times New Roman"/>
      <family val="1"/>
    </font>
    <font>
      <b/>
      <sz val="16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sz val="10"/>
      <color indexed="8"/>
      <name val="Arial"/>
      <family val="2"/>
    </font>
    <font>
      <b/>
      <sz val="6"/>
      <name val="Arial"/>
      <family val="2"/>
    </font>
    <font>
      <b/>
      <sz val="14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93">
    <xf numFmtId="0" fontId="23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32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3" fillId="0" borderId="0">
      <alignment vertical="top"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33" borderId="0" applyNumberFormat="0" applyBorder="0" applyAlignment="0" applyProtection="0"/>
    <xf numFmtId="0" fontId="6" fillId="0" borderId="0">
      <alignment/>
      <protection/>
    </xf>
    <xf numFmtId="0" fontId="13" fillId="3" borderId="0" applyNumberFormat="0" applyBorder="0" applyAlignment="0" applyProtection="0"/>
    <xf numFmtId="0" fontId="7" fillId="10" borderId="0" applyNumberFormat="0" applyBorder="0" applyAlignment="0" applyProtection="0"/>
    <xf numFmtId="0" fontId="8" fillId="34" borderId="1" applyNumberFormat="0" applyAlignment="0" applyProtection="0"/>
    <xf numFmtId="0" fontId="8" fillId="35" borderId="1" applyNumberFormat="0" applyAlignment="0" applyProtection="0"/>
    <xf numFmtId="0" fontId="9" fillId="36" borderId="2" applyNumberFormat="0" applyAlignment="0" applyProtection="0"/>
    <xf numFmtId="0" fontId="10" fillId="0" borderId="3" applyNumberFormat="0" applyFill="0" applyAlignment="0" applyProtection="0"/>
    <xf numFmtId="0" fontId="9" fillId="37" borderId="2" applyNumberFormat="0" applyAlignment="0" applyProtection="0"/>
    <xf numFmtId="0" fontId="24" fillId="0" borderId="0">
      <alignment/>
      <protection locked="0"/>
    </xf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41" borderId="0" applyNumberFormat="0" applyBorder="0" applyAlignment="0" applyProtection="0"/>
    <xf numFmtId="0" fontId="11" fillId="13" borderId="1" applyNumberFormat="0" applyAlignment="0" applyProtection="0"/>
    <xf numFmtId="0" fontId="32" fillId="0" borderId="0">
      <alignment/>
      <protection/>
    </xf>
    <xf numFmtId="167" fontId="12" fillId="0" borderId="0" applyFont="0" applyFill="0" applyBorder="0" applyAlignment="0" applyProtection="0"/>
    <xf numFmtId="0" fontId="4" fillId="0" borderId="0">
      <alignment/>
      <protection/>
    </xf>
    <xf numFmtId="168" fontId="25" fillId="0" borderId="0">
      <alignment/>
      <protection/>
    </xf>
    <xf numFmtId="0" fontId="17" fillId="0" borderId="0" applyNumberFormat="0" applyFill="0" applyBorder="0" applyAlignment="0" applyProtection="0"/>
    <xf numFmtId="171" fontId="24" fillId="0" borderId="0">
      <alignment/>
      <protection locked="0"/>
    </xf>
    <xf numFmtId="0" fontId="7" fillId="4" borderId="0" applyNumberFormat="0" applyBorder="0" applyAlignment="0" applyProtection="0"/>
    <xf numFmtId="0" fontId="26" fillId="0" borderId="0">
      <alignment horizontal="center"/>
      <protection/>
    </xf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1" fillId="7" borderId="1" applyNumberFormat="0" applyAlignment="0" applyProtection="0"/>
    <xf numFmtId="0" fontId="10" fillId="0" borderId="3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 vertical="top"/>
      <protection/>
    </xf>
    <xf numFmtId="0" fontId="0" fillId="0" borderId="0">
      <alignment/>
      <protection/>
    </xf>
    <xf numFmtId="0" fontId="0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4" fillId="44" borderId="7" applyNumberFormat="0" applyFont="0" applyAlignment="0" applyProtection="0"/>
    <xf numFmtId="0" fontId="0" fillId="45" borderId="7" applyNumberFormat="0" applyAlignment="0" applyProtection="0"/>
    <xf numFmtId="0" fontId="15" fillId="34" borderId="8" applyNumberFormat="0" applyAlignment="0" applyProtection="0"/>
    <xf numFmtId="172" fontId="24" fillId="0" borderId="0">
      <alignment/>
      <protection locked="0"/>
    </xf>
    <xf numFmtId="17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169" fontId="29" fillId="0" borderId="0">
      <alignment/>
      <protection/>
    </xf>
    <xf numFmtId="0" fontId="15" fillId="35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30" fillId="0" borderId="9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4" fontId="31" fillId="0" borderId="0">
      <alignment/>
      <protection locked="0"/>
    </xf>
    <xf numFmtId="174" fontId="31" fillId="0" borderId="0">
      <alignment/>
      <protection locked="0"/>
    </xf>
    <xf numFmtId="0" fontId="22" fillId="0" borderId="10" applyNumberFormat="0" applyFill="0" applyAlignment="0" applyProtection="0"/>
    <xf numFmtId="49" fontId="33" fillId="0" borderId="0" applyNumberFormat="0" applyFont="0" applyFill="0" applyBorder="0" applyAlignment="0" applyProtection="0"/>
    <xf numFmtId="49" fontId="33" fillId="0" borderId="0" applyNumberFormat="0" applyFont="0" applyFill="0" applyBorder="0" applyAlignment="0" applyProtection="0"/>
    <xf numFmtId="177" fontId="4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46" borderId="11" xfId="199" applyFill="1" applyBorder="1" applyAlignment="1">
      <alignment wrapText="1"/>
      <protection/>
    </xf>
    <xf numFmtId="0" fontId="0" fillId="46" borderId="11" xfId="199" applyFill="1" applyBorder="1">
      <alignment/>
      <protection/>
    </xf>
    <xf numFmtId="4" fontId="0" fillId="46" borderId="11" xfId="199" applyNumberFormat="1" applyFill="1" applyBorder="1">
      <alignment/>
      <protection/>
    </xf>
    <xf numFmtId="0" fontId="0" fillId="46" borderId="12" xfId="199" applyFill="1" applyBorder="1">
      <alignment/>
      <protection/>
    </xf>
    <xf numFmtId="0" fontId="0" fillId="0" borderId="0" xfId="199">
      <alignment/>
      <protection/>
    </xf>
    <xf numFmtId="0" fontId="0" fillId="46" borderId="0" xfId="199" applyFill="1" applyBorder="1">
      <alignment/>
      <protection/>
    </xf>
    <xf numFmtId="4" fontId="0" fillId="46" borderId="0" xfId="199" applyNumberFormat="1" applyFill="1" applyBorder="1">
      <alignment/>
      <protection/>
    </xf>
    <xf numFmtId="0" fontId="0" fillId="46" borderId="13" xfId="199" applyFill="1" applyBorder="1">
      <alignment/>
      <protection/>
    </xf>
    <xf numFmtId="178" fontId="36" fillId="46" borderId="0" xfId="199" applyNumberFormat="1" applyFont="1" applyFill="1" applyBorder="1" applyAlignment="1">
      <alignment/>
      <protection/>
    </xf>
    <xf numFmtId="178" fontId="37" fillId="46" borderId="0" xfId="199" applyNumberFormat="1" applyFont="1" applyFill="1" applyBorder="1" applyAlignment="1">
      <alignment/>
      <protection/>
    </xf>
    <xf numFmtId="178" fontId="37" fillId="46" borderId="13" xfId="199" applyNumberFormat="1" applyFont="1" applyFill="1" applyBorder="1" applyAlignment="1">
      <alignment/>
      <protection/>
    </xf>
    <xf numFmtId="49" fontId="34" fillId="46" borderId="14" xfId="199" applyNumberFormat="1" applyFont="1" applyFill="1" applyBorder="1" applyAlignment="1">
      <alignment horizontal="left"/>
      <protection/>
    </xf>
    <xf numFmtId="49" fontId="35" fillId="0" borderId="15" xfId="199" applyNumberFormat="1" applyFont="1" applyBorder="1" applyAlignment="1">
      <alignment horizontal="center" vertical="center"/>
      <protection/>
    </xf>
    <xf numFmtId="14" fontId="35" fillId="0" borderId="16" xfId="199" applyNumberFormat="1" applyFont="1" applyBorder="1" applyAlignment="1">
      <alignment horizontal="center" vertical="center"/>
      <protection/>
    </xf>
    <xf numFmtId="0" fontId="35" fillId="0" borderId="16" xfId="199" applyFont="1" applyBorder="1" applyAlignment="1">
      <alignment horizontal="center" vertical="center"/>
      <protection/>
    </xf>
    <xf numFmtId="4" fontId="35" fillId="0" borderId="16" xfId="199" applyNumberFormat="1" applyFont="1" applyBorder="1" applyAlignment="1">
      <alignment horizontal="center" vertical="center"/>
      <protection/>
    </xf>
    <xf numFmtId="0" fontId="35" fillId="0" borderId="17" xfId="199" applyFont="1" applyBorder="1" applyAlignment="1">
      <alignment horizontal="center" vertical="center"/>
      <protection/>
    </xf>
    <xf numFmtId="0" fontId="39" fillId="0" borderId="18" xfId="199" applyFont="1" applyBorder="1" applyAlignment="1">
      <alignment vertical="center" wrapText="1"/>
      <protection/>
    </xf>
    <xf numFmtId="0" fontId="38" fillId="0" borderId="18" xfId="199" applyFont="1" applyBorder="1" applyAlignment="1">
      <alignment vertical="center"/>
      <protection/>
    </xf>
    <xf numFmtId="4" fontId="38" fillId="0" borderId="18" xfId="199" applyNumberFormat="1" applyFont="1" applyBorder="1" applyAlignment="1">
      <alignment vertical="center"/>
      <protection/>
    </xf>
    <xf numFmtId="43" fontId="38" fillId="0" borderId="19" xfId="264" applyFont="1" applyBorder="1" applyAlignment="1">
      <alignment vertical="center"/>
    </xf>
    <xf numFmtId="0" fontId="0" fillId="0" borderId="0" xfId="199" applyAlignment="1">
      <alignment vertical="center"/>
      <protection/>
    </xf>
    <xf numFmtId="0" fontId="39" fillId="0" borderId="20" xfId="199" applyFont="1" applyBorder="1" applyAlignment="1">
      <alignment vertical="center" wrapText="1"/>
      <protection/>
    </xf>
    <xf numFmtId="0" fontId="39" fillId="0" borderId="20" xfId="199" applyFont="1" applyBorder="1" applyAlignment="1">
      <alignment horizontal="center" vertical="center" wrapText="1"/>
      <protection/>
    </xf>
    <xf numFmtId="4" fontId="0" fillId="0" borderId="0" xfId="199" applyNumberFormat="1">
      <alignment/>
      <protection/>
    </xf>
    <xf numFmtId="0" fontId="0" fillId="0" borderId="0" xfId="199" applyAlignment="1">
      <alignment wrapText="1"/>
      <protection/>
    </xf>
    <xf numFmtId="49" fontId="0" fillId="46" borderId="21" xfId="199" applyNumberFormat="1" applyFill="1" applyBorder="1" applyAlignment="1">
      <alignment horizontal="center"/>
      <protection/>
    </xf>
    <xf numFmtId="49" fontId="0" fillId="46" borderId="14" xfId="199" applyNumberFormat="1" applyFill="1" applyBorder="1" applyAlignment="1">
      <alignment horizontal="center"/>
      <protection/>
    </xf>
    <xf numFmtId="49" fontId="3" fillId="0" borderId="22" xfId="199" applyNumberFormat="1" applyFont="1" applyBorder="1" applyAlignment="1">
      <alignment horizontal="center" vertical="center"/>
      <protection/>
    </xf>
    <xf numFmtId="49" fontId="0" fillId="0" borderId="0" xfId="199" applyNumberFormat="1" applyAlignment="1">
      <alignment horizontal="center"/>
      <protection/>
    </xf>
    <xf numFmtId="49" fontId="3" fillId="0" borderId="23" xfId="199" applyNumberFormat="1" applyFont="1" applyBorder="1" applyAlignment="1">
      <alignment horizontal="center" vertical="center"/>
      <protection/>
    </xf>
    <xf numFmtId="0" fontId="3" fillId="0" borderId="20" xfId="199" applyFont="1" applyBorder="1" applyAlignment="1">
      <alignment vertical="center" wrapText="1"/>
      <protection/>
    </xf>
    <xf numFmtId="0" fontId="3" fillId="0" borderId="20" xfId="199" applyFont="1" applyBorder="1" applyAlignment="1">
      <alignment horizontal="center" vertical="center"/>
      <protection/>
    </xf>
    <xf numFmtId="4" fontId="3" fillId="0" borderId="20" xfId="199" applyNumberFormat="1" applyFont="1" applyBorder="1" applyAlignment="1">
      <alignment horizontal="right" vertical="center"/>
      <protection/>
    </xf>
    <xf numFmtId="43" fontId="3" fillId="0" borderId="24" xfId="264" applyFont="1" applyBorder="1" applyAlignment="1">
      <alignment horizontal="right" vertical="center"/>
    </xf>
    <xf numFmtId="0" fontId="35" fillId="0" borderId="20" xfId="199" applyFont="1" applyBorder="1" applyAlignment="1">
      <alignment horizontal="center" vertical="center" wrapText="1"/>
      <protection/>
    </xf>
    <xf numFmtId="0" fontId="38" fillId="0" borderId="20" xfId="199" applyFont="1" applyBorder="1" applyAlignment="1">
      <alignment horizontal="center" vertical="center"/>
      <protection/>
    </xf>
    <xf numFmtId="0" fontId="38" fillId="0" borderId="20" xfId="199" applyFont="1" applyBorder="1" applyAlignment="1">
      <alignment vertical="center"/>
      <protection/>
    </xf>
    <xf numFmtId="4" fontId="38" fillId="0" borderId="20" xfId="199" applyNumberFormat="1" applyFont="1" applyBorder="1" applyAlignment="1">
      <alignment vertical="center"/>
      <protection/>
    </xf>
    <xf numFmtId="43" fontId="39" fillId="0" borderId="24" xfId="264" applyFont="1" applyBorder="1" applyAlignment="1">
      <alignment vertical="center"/>
    </xf>
    <xf numFmtId="4" fontId="3" fillId="0" borderId="20" xfId="199" applyNumberFormat="1" applyFont="1" applyBorder="1" applyAlignment="1">
      <alignment vertical="center"/>
      <protection/>
    </xf>
    <xf numFmtId="43" fontId="3" fillId="0" borderId="24" xfId="264" applyFont="1" applyBorder="1" applyAlignment="1">
      <alignment vertical="center"/>
    </xf>
    <xf numFmtId="0" fontId="3" fillId="0" borderId="20" xfId="199" applyFont="1" applyBorder="1" applyAlignment="1">
      <alignment horizontal="center" vertical="center" wrapText="1"/>
      <protection/>
    </xf>
    <xf numFmtId="43" fontId="3" fillId="0" borderId="25" xfId="264" applyFont="1" applyBorder="1" applyAlignment="1">
      <alignment horizontal="center" vertical="center"/>
    </xf>
    <xf numFmtId="43" fontId="3" fillId="0" borderId="20" xfId="264" applyFont="1" applyBorder="1" applyAlignment="1">
      <alignment vertical="center"/>
    </xf>
    <xf numFmtId="43" fontId="3" fillId="0" borderId="26" xfId="264" applyFont="1" applyBorder="1" applyAlignment="1">
      <alignment vertical="center"/>
    </xf>
    <xf numFmtId="43" fontId="3" fillId="0" borderId="27" xfId="264" applyFont="1" applyBorder="1" applyAlignment="1">
      <alignment vertical="center"/>
    </xf>
    <xf numFmtId="4" fontId="40" fillId="0" borderId="20" xfId="199" applyNumberFormat="1" applyFont="1" applyBorder="1" applyAlignment="1">
      <alignment vertical="center"/>
      <protection/>
    </xf>
    <xf numFmtId="0" fontId="39" fillId="0" borderId="18" xfId="199" applyFont="1" applyBorder="1" applyAlignment="1">
      <alignment horizontal="center" vertical="center" wrapText="1"/>
      <protection/>
    </xf>
    <xf numFmtId="0" fontId="3" fillId="0" borderId="18" xfId="199" applyFont="1" applyBorder="1" applyAlignment="1">
      <alignment horizontal="center" vertical="center"/>
      <protection/>
    </xf>
    <xf numFmtId="4" fontId="3" fillId="0" borderId="18" xfId="199" applyNumberFormat="1" applyFont="1" applyBorder="1" applyAlignment="1">
      <alignment vertical="center"/>
      <protection/>
    </xf>
    <xf numFmtId="43" fontId="39" fillId="0" borderId="19" xfId="264" applyFont="1" applyBorder="1" applyAlignment="1">
      <alignment vertical="center"/>
    </xf>
    <xf numFmtId="0" fontId="3" fillId="0" borderId="18" xfId="199" applyFont="1" applyBorder="1" applyAlignment="1">
      <alignment vertical="center" wrapText="1"/>
      <protection/>
    </xf>
    <xf numFmtId="43" fontId="3" fillId="0" borderId="19" xfId="264" applyFont="1" applyBorder="1" applyAlignment="1">
      <alignment vertical="center"/>
    </xf>
    <xf numFmtId="49" fontId="3" fillId="0" borderId="28" xfId="199" applyNumberFormat="1" applyFont="1" applyBorder="1" applyAlignment="1">
      <alignment horizontal="center" vertical="center"/>
      <protection/>
    </xf>
    <xf numFmtId="0" fontId="3" fillId="0" borderId="29" xfId="199" applyFont="1" applyBorder="1" applyAlignment="1">
      <alignment vertical="center" wrapText="1"/>
      <protection/>
    </xf>
    <xf numFmtId="0" fontId="3" fillId="0" borderId="29" xfId="199" applyFont="1" applyBorder="1" applyAlignment="1">
      <alignment horizontal="center" vertical="center"/>
      <protection/>
    </xf>
    <xf numFmtId="4" fontId="3" fillId="0" borderId="29" xfId="199" applyNumberFormat="1" applyFont="1" applyBorder="1" applyAlignment="1">
      <alignment vertical="center"/>
      <protection/>
    </xf>
    <xf numFmtId="43" fontId="3" fillId="0" borderId="30" xfId="264" applyFont="1" applyBorder="1" applyAlignment="1">
      <alignment vertical="center"/>
    </xf>
    <xf numFmtId="0" fontId="3" fillId="0" borderId="18" xfId="199" applyFont="1" applyBorder="1" applyAlignment="1">
      <alignment horizontal="center" vertical="center" wrapText="1"/>
      <protection/>
    </xf>
    <xf numFmtId="0" fontId="40" fillId="0" borderId="18" xfId="199" applyFont="1" applyBorder="1" applyAlignment="1">
      <alignment horizontal="center" vertical="center"/>
      <protection/>
    </xf>
    <xf numFmtId="4" fontId="40" fillId="0" borderId="18" xfId="199" applyNumberFormat="1" applyFont="1" applyBorder="1" applyAlignment="1">
      <alignment vertical="center"/>
      <protection/>
    </xf>
    <xf numFmtId="43" fontId="40" fillId="0" borderId="19" xfId="264" applyFont="1" applyBorder="1" applyAlignment="1">
      <alignment vertical="center"/>
    </xf>
    <xf numFmtId="0" fontId="39" fillId="0" borderId="20" xfId="199" applyFont="1" applyBorder="1" applyAlignment="1">
      <alignment horizontal="right" vertical="center" wrapText="1"/>
      <protection/>
    </xf>
    <xf numFmtId="0" fontId="3" fillId="0" borderId="20" xfId="199" applyFont="1" applyBorder="1" applyAlignment="1">
      <alignment horizontal="center" vertical="center"/>
      <protection/>
    </xf>
    <xf numFmtId="0" fontId="3" fillId="0" borderId="20" xfId="199" applyFont="1" applyBorder="1" applyAlignment="1">
      <alignment vertical="center"/>
      <protection/>
    </xf>
    <xf numFmtId="4" fontId="3" fillId="0" borderId="20" xfId="199" applyNumberFormat="1" applyFont="1" applyBorder="1" applyAlignment="1">
      <alignment vertical="center"/>
      <protection/>
    </xf>
    <xf numFmtId="0" fontId="3" fillId="0" borderId="20" xfId="199" applyFont="1" applyBorder="1" applyAlignment="1">
      <alignment horizontal="right" vertical="center" wrapText="1"/>
      <protection/>
    </xf>
    <xf numFmtId="0" fontId="3" fillId="0" borderId="24" xfId="199" applyFont="1" applyBorder="1" applyAlignment="1">
      <alignment horizontal="center" vertical="center"/>
      <protection/>
    </xf>
    <xf numFmtId="0" fontId="38" fillId="0" borderId="24" xfId="199" applyFont="1" applyBorder="1" applyAlignment="1">
      <alignment vertical="center"/>
      <protection/>
    </xf>
    <xf numFmtId="0" fontId="3" fillId="0" borderId="31" xfId="199" applyFont="1" applyBorder="1" applyAlignment="1">
      <alignment horizontal="center" vertical="center"/>
      <protection/>
    </xf>
    <xf numFmtId="0" fontId="3" fillId="0" borderId="31" xfId="199" applyFont="1" applyBorder="1" applyAlignment="1">
      <alignment vertical="center"/>
      <protection/>
    </xf>
    <xf numFmtId="4" fontId="3" fillId="0" borderId="31" xfId="199" applyNumberFormat="1" applyFont="1" applyBorder="1" applyAlignment="1">
      <alignment vertical="center"/>
      <protection/>
    </xf>
    <xf numFmtId="0" fontId="3" fillId="0" borderId="31" xfId="199" applyFont="1" applyBorder="1" applyAlignment="1">
      <alignment horizontal="right" vertical="center" wrapText="1"/>
      <protection/>
    </xf>
    <xf numFmtId="0" fontId="3" fillId="0" borderId="32" xfId="199" applyFont="1" applyBorder="1" applyAlignment="1">
      <alignment horizontal="center" vertical="center"/>
      <protection/>
    </xf>
    <xf numFmtId="49" fontId="3" fillId="0" borderId="25" xfId="264" applyNumberFormat="1" applyFont="1" applyBorder="1" applyAlignment="1">
      <alignment horizontal="center" vertical="center"/>
    </xf>
    <xf numFmtId="49" fontId="36" fillId="46" borderId="14" xfId="199" applyNumberFormat="1" applyFont="1" applyFill="1" applyBorder="1" applyAlignment="1">
      <alignment horizontal="center"/>
      <protection/>
    </xf>
    <xf numFmtId="49" fontId="37" fillId="46" borderId="14" xfId="199" applyNumberFormat="1" applyFont="1" applyFill="1" applyBorder="1" applyAlignment="1">
      <alignment horizontal="center"/>
      <protection/>
    </xf>
    <xf numFmtId="49" fontId="3" fillId="0" borderId="23" xfId="199" applyNumberFormat="1" applyFont="1" applyBorder="1" applyAlignment="1">
      <alignment horizontal="center" vertical="center" wrapText="1"/>
      <protection/>
    </xf>
    <xf numFmtId="49" fontId="39" fillId="0" borderId="23" xfId="199" applyNumberFormat="1" applyFont="1" applyBorder="1" applyAlignment="1">
      <alignment horizontal="center" vertical="center" wrapText="1"/>
      <protection/>
    </xf>
    <xf numFmtId="49" fontId="3" fillId="0" borderId="33" xfId="199" applyNumberFormat="1" applyFont="1" applyBorder="1" applyAlignment="1">
      <alignment horizontal="center" vertical="center" wrapText="1"/>
      <protection/>
    </xf>
    <xf numFmtId="0" fontId="3" fillId="0" borderId="20" xfId="199" applyFont="1" applyFill="1" applyBorder="1" applyAlignment="1">
      <alignment vertical="center" wrapText="1"/>
      <protection/>
    </xf>
    <xf numFmtId="4" fontId="3" fillId="0" borderId="20" xfId="199" applyNumberFormat="1" applyFont="1" applyFill="1" applyBorder="1" applyAlignment="1">
      <alignment vertical="center"/>
      <protection/>
    </xf>
    <xf numFmtId="49" fontId="34" fillId="46" borderId="0" xfId="199" applyNumberFormat="1" applyFont="1" applyFill="1" applyBorder="1" applyAlignment="1">
      <alignment/>
      <protection/>
    </xf>
    <xf numFmtId="49" fontId="34" fillId="46" borderId="13" xfId="199" applyNumberFormat="1" applyFont="1" applyFill="1" applyBorder="1" applyAlignment="1">
      <alignment/>
      <protection/>
    </xf>
    <xf numFmtId="0" fontId="34" fillId="0" borderId="20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26" xfId="0" applyFont="1" applyBorder="1" applyAlignment="1">
      <alignment vertical="center"/>
    </xf>
    <xf numFmtId="0" fontId="0" fillId="0" borderId="0" xfId="198" applyFont="1" applyBorder="1" applyAlignment="1">
      <alignment/>
      <protection/>
    </xf>
    <xf numFmtId="0" fontId="0" fillId="0" borderId="0" xfId="198" applyFont="1" applyBorder="1" applyAlignment="1">
      <alignment/>
      <protection/>
    </xf>
    <xf numFmtId="3" fontId="0" fillId="0" borderId="0" xfId="198" applyNumberFormat="1" applyFont="1">
      <alignment/>
      <protection/>
    </xf>
    <xf numFmtId="3" fontId="3" fillId="0" borderId="0" xfId="198" applyNumberFormat="1" applyFont="1" applyAlignment="1">
      <alignment horizontal="center"/>
      <protection/>
    </xf>
    <xf numFmtId="4" fontId="3" fillId="0" borderId="0" xfId="198" applyNumberFormat="1" applyFont="1">
      <alignment/>
      <protection/>
    </xf>
    <xf numFmtId="166" fontId="3" fillId="0" borderId="0" xfId="198" applyNumberFormat="1" applyFont="1">
      <alignment/>
      <protection/>
    </xf>
    <xf numFmtId="4" fontId="0" fillId="0" borderId="0" xfId="198" applyNumberFormat="1">
      <alignment/>
      <protection/>
    </xf>
    <xf numFmtId="4" fontId="41" fillId="0" borderId="0" xfId="198" applyNumberFormat="1" applyFont="1">
      <alignment vertical="top"/>
      <protection/>
    </xf>
    <xf numFmtId="4" fontId="0" fillId="0" borderId="0" xfId="198" applyNumberFormat="1" applyFont="1" applyAlignment="1">
      <alignment horizontal="center"/>
      <protection/>
    </xf>
    <xf numFmtId="4" fontId="3" fillId="0" borderId="0" xfId="198" applyNumberFormat="1" applyFont="1" applyAlignment="1">
      <alignment horizontal="left"/>
      <protection/>
    </xf>
    <xf numFmtId="191" fontId="34" fillId="0" borderId="35" xfId="0" applyNumberFormat="1" applyFont="1" applyBorder="1" applyAlignment="1">
      <alignment vertical="center"/>
    </xf>
    <xf numFmtId="191" fontId="34" fillId="0" borderId="36" xfId="0" applyNumberFormat="1" applyFont="1" applyBorder="1" applyAlignment="1">
      <alignment vertical="center"/>
    </xf>
    <xf numFmtId="191" fontId="34" fillId="0" borderId="37" xfId="0" applyNumberFormat="1" applyFont="1" applyBorder="1" applyAlignment="1">
      <alignment vertical="center"/>
    </xf>
    <xf numFmtId="4" fontId="34" fillId="0" borderId="0" xfId="198" applyNumberFormat="1" applyFont="1" applyFill="1">
      <alignment/>
      <protection/>
    </xf>
    <xf numFmtId="3" fontId="0" fillId="0" borderId="0" xfId="198" applyNumberFormat="1">
      <alignment/>
      <protection/>
    </xf>
    <xf numFmtId="4" fontId="38" fillId="0" borderId="0" xfId="198" applyNumberFormat="1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191" fontId="34" fillId="0" borderId="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3" fontId="0" fillId="0" borderId="38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8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/>
    </xf>
    <xf numFmtId="4" fontId="0" fillId="9" borderId="16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4" fontId="34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34" fillId="2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34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/>
    </xf>
    <xf numFmtId="4" fontId="0" fillId="0" borderId="0" xfId="198" applyNumberFormat="1" applyAlignment="1">
      <alignment horizontal="center"/>
      <protection/>
    </xf>
    <xf numFmtId="4" fontId="36" fillId="46" borderId="0" xfId="199" applyNumberFormat="1" applyFont="1" applyFill="1" applyBorder="1" applyAlignment="1">
      <alignment/>
      <protection/>
    </xf>
    <xf numFmtId="4" fontId="37" fillId="46" borderId="0" xfId="199" applyNumberFormat="1" applyFont="1" applyFill="1" applyBorder="1" applyAlignment="1">
      <alignment/>
      <protection/>
    </xf>
    <xf numFmtId="4" fontId="34" fillId="46" borderId="0" xfId="199" applyNumberFormat="1" applyFont="1" applyFill="1" applyBorder="1" applyAlignment="1">
      <alignment/>
      <protection/>
    </xf>
    <xf numFmtId="4" fontId="35" fillId="0" borderId="16" xfId="264" applyNumberFormat="1" applyFont="1" applyBorder="1" applyAlignment="1">
      <alignment horizontal="center" vertical="center"/>
    </xf>
    <xf numFmtId="4" fontId="3" fillId="0" borderId="20" xfId="264" applyNumberFormat="1" applyFont="1" applyBorder="1" applyAlignment="1">
      <alignment vertical="center"/>
    </xf>
    <xf numFmtId="10" fontId="39" fillId="0" borderId="20" xfId="259" applyNumberFormat="1" applyFont="1" applyBorder="1" applyAlignment="1">
      <alignment horizontal="center" vertical="center"/>
    </xf>
    <xf numFmtId="49" fontId="3" fillId="0" borderId="23" xfId="199" applyNumberFormat="1" applyFont="1" applyBorder="1" applyAlignment="1">
      <alignment horizontal="center" vertical="center"/>
      <protection/>
    </xf>
    <xf numFmtId="0" fontId="3" fillId="0" borderId="20" xfId="199" applyFont="1" applyBorder="1" applyAlignment="1">
      <alignment vertical="center" wrapText="1"/>
      <protection/>
    </xf>
    <xf numFmtId="0" fontId="3" fillId="0" borderId="20" xfId="199" applyFont="1" applyBorder="1" applyAlignment="1">
      <alignment horizontal="center" vertical="center"/>
      <protection/>
    </xf>
    <xf numFmtId="2" fontId="3" fillId="0" borderId="20" xfId="199" applyNumberFormat="1" applyFont="1" applyBorder="1" applyAlignment="1">
      <alignment vertical="center"/>
      <protection/>
    </xf>
    <xf numFmtId="4" fontId="3" fillId="0" borderId="20" xfId="199" applyNumberFormat="1" applyFont="1" applyBorder="1" applyAlignment="1">
      <alignment vertical="center"/>
      <protection/>
    </xf>
    <xf numFmtId="43" fontId="3" fillId="0" borderId="24" xfId="264" applyFont="1" applyBorder="1" applyAlignment="1">
      <alignment vertical="center"/>
    </xf>
    <xf numFmtId="0" fontId="3" fillId="0" borderId="20" xfId="199" applyFont="1" applyBorder="1" applyAlignment="1">
      <alignment horizontal="center" vertical="center"/>
      <protection/>
    </xf>
    <xf numFmtId="49" fontId="34" fillId="46" borderId="0" xfId="199" applyNumberFormat="1" applyFont="1" applyFill="1" applyBorder="1" applyAlignment="1">
      <alignment horizontal="left"/>
      <protection/>
    </xf>
    <xf numFmtId="2" fontId="0" fillId="0" borderId="0" xfId="199" applyNumberFormat="1">
      <alignment/>
      <protection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" fontId="39" fillId="0" borderId="0" xfId="0" applyNumberFormat="1" applyFont="1" applyAlignment="1">
      <alignment vertical="top"/>
    </xf>
    <xf numFmtId="49" fontId="3" fillId="0" borderId="16" xfId="0" applyNumberFormat="1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4" fontId="3" fillId="0" borderId="16" xfId="0" applyNumberFormat="1" applyFont="1" applyBorder="1" applyAlignment="1">
      <alignment horizontal="right" vertical="center"/>
    </xf>
    <xf numFmtId="10" fontId="3" fillId="0" borderId="16" xfId="0" applyNumberFormat="1" applyFont="1" applyBorder="1" applyAlignment="1">
      <alignment horizontal="center" vertical="center"/>
    </xf>
    <xf numFmtId="4" fontId="3" fillId="20" borderId="16" xfId="0" applyNumberFormat="1" applyFont="1" applyFill="1" applyBorder="1" applyAlignment="1">
      <alignment horizontal="center" vertical="center"/>
    </xf>
    <xf numFmtId="10" fontId="3" fillId="20" borderId="16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4" fontId="3" fillId="0" borderId="16" xfId="0" applyNumberFormat="1" applyFont="1" applyFill="1" applyBorder="1" applyAlignment="1">
      <alignment horizontal="center" vertical="center"/>
    </xf>
    <xf numFmtId="10" fontId="3" fillId="0" borderId="16" xfId="0" applyNumberFormat="1" applyFont="1" applyFill="1" applyBorder="1" applyAlignment="1">
      <alignment horizontal="center" vertical="center"/>
    </xf>
    <xf numFmtId="1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9" fillId="0" borderId="41" xfId="0" applyNumberFormat="1" applyFont="1" applyBorder="1" applyAlignment="1">
      <alignment vertical="center"/>
    </xf>
    <xf numFmtId="10" fontId="39" fillId="0" borderId="41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/>
    </xf>
    <xf numFmtId="4" fontId="39" fillId="0" borderId="16" xfId="0" applyNumberFormat="1" applyFont="1" applyBorder="1" applyAlignment="1">
      <alignment horizontal="center" vertical="center"/>
    </xf>
    <xf numFmtId="10" fontId="39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 horizontal="right" indent="4"/>
    </xf>
    <xf numFmtId="0" fontId="3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4" fillId="46" borderId="0" xfId="199" applyFont="1" applyFill="1" applyBorder="1" applyAlignment="1">
      <alignment/>
      <protection/>
    </xf>
    <xf numFmtId="0" fontId="39" fillId="35" borderId="42" xfId="0" applyFont="1" applyFill="1" applyBorder="1" applyAlignment="1">
      <alignment vertical="justify"/>
    </xf>
    <xf numFmtId="0" fontId="39" fillId="35" borderId="43" xfId="0" applyFont="1" applyFill="1" applyBorder="1" applyAlignment="1">
      <alignment vertical="justify"/>
    </xf>
    <xf numFmtId="0" fontId="39" fillId="0" borderId="0" xfId="0" applyFont="1" applyBorder="1" applyAlignment="1">
      <alignment/>
    </xf>
    <xf numFmtId="0" fontId="39" fillId="0" borderId="38" xfId="0" applyFont="1" applyBorder="1" applyAlignment="1">
      <alignment/>
    </xf>
    <xf numFmtId="0" fontId="3" fillId="0" borderId="39" xfId="0" applyFont="1" applyBorder="1" applyAlignment="1">
      <alignment vertical="center"/>
    </xf>
    <xf numFmtId="0" fontId="39" fillId="0" borderId="44" xfId="0" applyFont="1" applyBorder="1" applyAlignment="1">
      <alignment vertical="center"/>
    </xf>
    <xf numFmtId="0" fontId="39" fillId="0" borderId="45" xfId="0" applyFont="1" applyBorder="1" applyAlignment="1">
      <alignment vertical="center"/>
    </xf>
    <xf numFmtId="10" fontId="34" fillId="46" borderId="0" xfId="259" applyNumberFormat="1" applyFont="1" applyFill="1" applyBorder="1" applyAlignment="1">
      <alignment horizontal="left"/>
    </xf>
    <xf numFmtId="196" fontId="34" fillId="46" borderId="0" xfId="199" applyNumberFormat="1" applyFont="1" applyFill="1" applyBorder="1" applyAlignment="1">
      <alignment horizontal="left"/>
      <protection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43" fontId="0" fillId="0" borderId="0" xfId="199" applyNumberFormat="1">
      <alignment/>
      <protection/>
    </xf>
    <xf numFmtId="178" fontId="34" fillId="46" borderId="14" xfId="199" applyNumberFormat="1" applyFont="1" applyFill="1" applyBorder="1" applyAlignment="1">
      <alignment horizontal="center"/>
      <protection/>
    </xf>
    <xf numFmtId="178" fontId="34" fillId="46" borderId="0" xfId="199" applyNumberFormat="1" applyFont="1" applyFill="1" applyBorder="1" applyAlignment="1">
      <alignment horizontal="center"/>
      <protection/>
    </xf>
    <xf numFmtId="178" fontId="34" fillId="46" borderId="13" xfId="199" applyNumberFormat="1" applyFont="1" applyFill="1" applyBorder="1" applyAlignment="1">
      <alignment horizontal="center"/>
      <protection/>
    </xf>
    <xf numFmtId="0" fontId="34" fillId="46" borderId="0" xfId="199" applyFont="1" applyFill="1" applyBorder="1" applyAlignment="1">
      <alignment horizontal="left"/>
      <protection/>
    </xf>
    <xf numFmtId="0" fontId="34" fillId="46" borderId="13" xfId="199" applyFont="1" applyFill="1" applyBorder="1" applyAlignment="1">
      <alignment horizontal="left"/>
      <protection/>
    </xf>
    <xf numFmtId="49" fontId="34" fillId="46" borderId="0" xfId="199" applyNumberFormat="1" applyFont="1" applyFill="1" applyBorder="1" applyAlignment="1">
      <alignment horizontal="left"/>
      <protection/>
    </xf>
    <xf numFmtId="49" fontId="34" fillId="46" borderId="13" xfId="199" applyNumberFormat="1" applyFont="1" applyFill="1" applyBorder="1" applyAlignment="1">
      <alignment horizontal="left"/>
      <protection/>
    </xf>
    <xf numFmtId="0" fontId="39" fillId="35" borderId="49" xfId="0" applyFont="1" applyFill="1" applyBorder="1" applyAlignment="1">
      <alignment horizontal="center" vertical="center"/>
    </xf>
    <xf numFmtId="0" fontId="39" fillId="35" borderId="40" xfId="0" applyFont="1" applyFill="1" applyBorder="1" applyAlignment="1">
      <alignment horizontal="center" vertical="center"/>
    </xf>
    <xf numFmtId="0" fontId="39" fillId="35" borderId="39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14" fontId="39" fillId="0" borderId="38" xfId="0" applyNumberFormat="1" applyFont="1" applyBorder="1" applyAlignment="1">
      <alignment horizontal="left"/>
    </xf>
    <xf numFmtId="0" fontId="39" fillId="0" borderId="0" xfId="0" applyFont="1" applyBorder="1" applyAlignment="1">
      <alignment horizontal="left" indent="3"/>
    </xf>
    <xf numFmtId="0" fontId="39" fillId="35" borderId="39" xfId="0" applyFont="1" applyFill="1" applyBorder="1" applyAlignment="1">
      <alignment horizontal="center" vertical="center" textRotation="91"/>
    </xf>
    <xf numFmtId="0" fontId="39" fillId="35" borderId="49" xfId="0" applyFont="1" applyFill="1" applyBorder="1" applyAlignment="1">
      <alignment horizontal="center" vertical="center" textRotation="91"/>
    </xf>
    <xf numFmtId="0" fontId="39" fillId="35" borderId="40" xfId="0" applyFont="1" applyFill="1" applyBorder="1" applyAlignment="1">
      <alignment horizontal="center" vertical="center" textRotation="91"/>
    </xf>
    <xf numFmtId="0" fontId="39" fillId="35" borderId="42" xfId="0" applyFont="1" applyFill="1" applyBorder="1" applyAlignment="1">
      <alignment horizontal="center" vertical="center"/>
    </xf>
    <xf numFmtId="0" fontId="39" fillId="35" borderId="4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39" fillId="0" borderId="50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4" fontId="0" fillId="9" borderId="39" xfId="0" applyNumberFormat="1" applyFill="1" applyBorder="1" applyAlignment="1">
      <alignment horizontal="center" vertical="center"/>
    </xf>
    <xf numFmtId="4" fontId="0" fillId="9" borderId="49" xfId="0" applyNumberFormat="1" applyFill="1" applyBorder="1" applyAlignment="1">
      <alignment horizontal="center" vertical="center"/>
    </xf>
    <xf numFmtId="4" fontId="0" fillId="9" borderId="40" xfId="0" applyNumberFormat="1" applyFill="1" applyBorder="1" applyAlignment="1">
      <alignment horizontal="center" vertical="center"/>
    </xf>
    <xf numFmtId="4" fontId="0" fillId="9" borderId="39" xfId="0" applyNumberFormat="1" applyFont="1" applyFill="1" applyBorder="1" applyAlignment="1">
      <alignment horizontal="center" vertical="center"/>
    </xf>
    <xf numFmtId="4" fontId="0" fillId="9" borderId="49" xfId="0" applyNumberFormat="1" applyFont="1" applyFill="1" applyBorder="1" applyAlignment="1">
      <alignment horizontal="center" vertical="center"/>
    </xf>
    <xf numFmtId="4" fontId="0" fillId="9" borderId="40" xfId="0" applyNumberFormat="1" applyFont="1" applyFill="1" applyBorder="1" applyAlignment="1">
      <alignment horizontal="center" vertical="center"/>
    </xf>
    <xf numFmtId="4" fontId="0" fillId="0" borderId="39" xfId="0" applyNumberFormat="1" applyFill="1" applyBorder="1" applyAlignment="1">
      <alignment horizontal="center" vertical="center"/>
    </xf>
    <xf numFmtId="4" fontId="0" fillId="0" borderId="49" xfId="0" applyNumberFormat="1" applyFill="1" applyBorder="1" applyAlignment="1">
      <alignment horizontal="center" vertical="center"/>
    </xf>
    <xf numFmtId="4" fontId="0" fillId="0" borderId="40" xfId="0" applyNumberFormat="1" applyFill="1" applyBorder="1" applyAlignment="1">
      <alignment horizontal="center" vertical="center"/>
    </xf>
    <xf numFmtId="4" fontId="0" fillId="0" borderId="39" xfId="0" applyNumberFormat="1" applyFill="1" applyBorder="1" applyAlignment="1">
      <alignment horizontal="center" vertical="justify"/>
    </xf>
    <xf numFmtId="4" fontId="0" fillId="0" borderId="49" xfId="0" applyNumberFormat="1" applyFill="1" applyBorder="1" applyAlignment="1">
      <alignment horizontal="center" vertical="justify"/>
    </xf>
    <xf numFmtId="3" fontId="0" fillId="0" borderId="39" xfId="0" applyNumberFormat="1" applyFill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 vertical="center"/>
    </xf>
    <xf numFmtId="3" fontId="0" fillId="0" borderId="40" xfId="0" applyNumberFormat="1" applyFill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 vertical="center"/>
    </xf>
    <xf numFmtId="3" fontId="0" fillId="0" borderId="49" xfId="0" applyNumberFormat="1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 vertical="center"/>
    </xf>
    <xf numFmtId="4" fontId="3" fillId="9" borderId="39" xfId="0" applyNumberFormat="1" applyFont="1" applyFill="1" applyBorder="1" applyAlignment="1">
      <alignment horizontal="center" vertical="center"/>
    </xf>
    <xf numFmtId="4" fontId="3" fillId="9" borderId="49" xfId="0" applyNumberFormat="1" applyFont="1" applyFill="1" applyBorder="1" applyAlignment="1">
      <alignment horizontal="center" vertical="center"/>
    </xf>
    <xf numFmtId="4" fontId="3" fillId="9" borderId="40" xfId="0" applyNumberFormat="1" applyFont="1" applyFill="1" applyBorder="1" applyAlignment="1">
      <alignment horizontal="center" vertical="center"/>
    </xf>
    <xf numFmtId="4" fontId="34" fillId="0" borderId="42" xfId="0" applyNumberFormat="1" applyFont="1" applyBorder="1" applyAlignment="1">
      <alignment horizontal="center"/>
    </xf>
    <xf numFmtId="4" fontId="34" fillId="0" borderId="51" xfId="0" applyNumberFormat="1" applyFont="1" applyBorder="1" applyAlignment="1">
      <alignment horizontal="center"/>
    </xf>
    <xf numFmtId="4" fontId="39" fillId="0" borderId="39" xfId="0" applyNumberFormat="1" applyFont="1" applyBorder="1" applyAlignment="1">
      <alignment horizontal="center" vertical="justify"/>
    </xf>
    <xf numFmtId="4" fontId="39" fillId="0" borderId="40" xfId="0" applyNumberFormat="1" applyFont="1" applyBorder="1" applyAlignment="1">
      <alignment horizontal="center" vertical="justify"/>
    </xf>
    <xf numFmtId="4" fontId="0" fillId="0" borderId="39" xfId="0" applyNumberFormat="1" applyFont="1" applyFill="1" applyBorder="1" applyAlignment="1">
      <alignment horizontal="center" vertical="center"/>
    </xf>
    <xf numFmtId="4" fontId="0" fillId="0" borderId="49" xfId="0" applyNumberFormat="1" applyFont="1" applyFill="1" applyBorder="1" applyAlignment="1">
      <alignment horizontal="center" vertical="center"/>
    </xf>
    <xf numFmtId="4" fontId="0" fillId="0" borderId="40" xfId="0" applyNumberFormat="1" applyFont="1" applyFill="1" applyBorder="1" applyAlignment="1">
      <alignment horizontal="center" vertical="center"/>
    </xf>
    <xf numFmtId="4" fontId="38" fillId="0" borderId="39" xfId="0" applyNumberFormat="1" applyFont="1" applyFill="1" applyBorder="1" applyAlignment="1">
      <alignment horizontal="center" vertical="center"/>
    </xf>
    <xf numFmtId="4" fontId="38" fillId="0" borderId="49" xfId="0" applyNumberFormat="1" applyFont="1" applyFill="1" applyBorder="1" applyAlignment="1">
      <alignment horizontal="center" vertical="center"/>
    </xf>
    <xf numFmtId="4" fontId="39" fillId="0" borderId="49" xfId="0" applyNumberFormat="1" applyFont="1" applyBorder="1" applyAlignment="1">
      <alignment horizontal="center" vertical="center"/>
    </xf>
    <xf numFmtId="4" fontId="39" fillId="0" borderId="40" xfId="0" applyNumberFormat="1" applyFont="1" applyBorder="1" applyAlignment="1">
      <alignment horizontal="center" vertical="center"/>
    </xf>
    <xf numFmtId="4" fontId="3" fillId="0" borderId="52" xfId="0" applyNumberFormat="1" applyFont="1" applyBorder="1" applyAlignment="1">
      <alignment horizontal="center" vertical="center"/>
    </xf>
    <xf numFmtId="4" fontId="3" fillId="0" borderId="53" xfId="0" applyNumberFormat="1" applyFont="1" applyBorder="1" applyAlignment="1">
      <alignment horizontal="center" vertical="center"/>
    </xf>
    <xf numFmtId="4" fontId="3" fillId="0" borderId="54" xfId="0" applyNumberFormat="1" applyFont="1" applyBorder="1" applyAlignment="1">
      <alignment horizontal="center" vertical="center"/>
    </xf>
    <xf numFmtId="4" fontId="42" fillId="0" borderId="39" xfId="0" applyNumberFormat="1" applyFont="1" applyBorder="1" applyAlignment="1">
      <alignment horizontal="center" vertical="center"/>
    </xf>
    <xf numFmtId="4" fontId="42" fillId="0" borderId="40" xfId="0" applyNumberFormat="1" applyFont="1" applyBorder="1" applyAlignment="1">
      <alignment horizontal="center" vertical="center"/>
    </xf>
    <xf numFmtId="4" fontId="39" fillId="0" borderId="39" xfId="0" applyNumberFormat="1" applyFont="1" applyBorder="1" applyAlignment="1">
      <alignment horizontal="center" vertical="center"/>
    </xf>
    <xf numFmtId="4" fontId="38" fillId="0" borderId="39" xfId="0" applyNumberFormat="1" applyFont="1" applyFill="1" applyBorder="1" applyAlignment="1">
      <alignment horizontal="center" vertical="justify"/>
    </xf>
    <xf numFmtId="4" fontId="38" fillId="0" borderId="49" xfId="0" applyNumberFormat="1" applyFont="1" applyFill="1" applyBorder="1" applyAlignment="1">
      <alignment horizontal="center" vertical="justify"/>
    </xf>
    <xf numFmtId="4" fontId="3" fillId="0" borderId="0" xfId="198" applyNumberFormat="1" applyFont="1" applyAlignment="1">
      <alignment horizontal="center" vertical="center"/>
      <protection/>
    </xf>
    <xf numFmtId="3" fontId="3" fillId="0" borderId="39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4" fontId="38" fillId="0" borderId="0" xfId="198" applyNumberFormat="1" applyFont="1" applyAlignment="1">
      <alignment horizontal="center" vertical="center"/>
      <protection/>
    </xf>
    <xf numFmtId="4" fontId="38" fillId="0" borderId="0" xfId="198" applyNumberFormat="1" applyFont="1" applyBorder="1" applyAlignment="1">
      <alignment horizontal="center" vertical="center"/>
      <protection/>
    </xf>
    <xf numFmtId="4" fontId="3" fillId="0" borderId="39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4" fontId="34" fillId="0" borderId="42" xfId="198" applyNumberFormat="1" applyFont="1" applyBorder="1" applyAlignment="1">
      <alignment horizontal="center"/>
      <protection/>
    </xf>
    <xf numFmtId="4" fontId="34" fillId="0" borderId="51" xfId="198" applyNumberFormat="1" applyFont="1" applyBorder="1" applyAlignment="1">
      <alignment horizontal="center"/>
      <protection/>
    </xf>
    <xf numFmtId="4" fontId="34" fillId="0" borderId="43" xfId="198" applyNumberFormat="1" applyFont="1" applyBorder="1" applyAlignment="1">
      <alignment horizontal="center"/>
      <protection/>
    </xf>
    <xf numFmtId="4" fontId="34" fillId="0" borderId="43" xfId="0" applyNumberFormat="1" applyFont="1" applyBorder="1" applyAlignment="1">
      <alignment horizontal="center"/>
    </xf>
  </cellXfs>
  <cellStyles count="279">
    <cellStyle name="Normal" xfId="0"/>
    <cellStyle name="_1  Academia de Policia Memoria" xfId="15"/>
    <cellStyle name="_1  Academia de Policia Memoria_Administração  LIDERTEX" xfId="16"/>
    <cellStyle name="_1  Academia de Policia Memoria_Galpão  LIDERTEX memória" xfId="17"/>
    <cellStyle name="_1  Academia de Policia Memoria_Guarita LIDERTEX" xfId="18"/>
    <cellStyle name="_1  Academia de Policia Memoria_LIDERTEX - ORÇAMENTO E CRONOGRAMA" xfId="19"/>
    <cellStyle name="_1  Academia de Policia Memoria_PQ TECNOLÓGICO_ADITIVO N.01_ENGEBRAS_(Comentado pela Engª Mirtes)" xfId="20"/>
    <cellStyle name="_1  Academia de Policia Memoria_Refeitório  LIDERTEX" xfId="21"/>
    <cellStyle name="_Centro Comunitário de Buenolândia MEMORIA DE ALVENARIA" xfId="22"/>
    <cellStyle name="_Flex Memoria" xfId="23"/>
    <cellStyle name="_Flex Memoria_Administração  LIDERTEX" xfId="24"/>
    <cellStyle name="_Flex Memoria_Galpão  LIDERTEX memória" xfId="25"/>
    <cellStyle name="_Flex Memoria_Guarita LIDERTEX" xfId="26"/>
    <cellStyle name="_Flex Memoria_LIDERTEX - ORÇAMENTO E CRONOGRAMA" xfId="27"/>
    <cellStyle name="_Flex Memoria_PQ TECNOLÓGICO_ADITIVO N.01_ENGEBRAS_(Comentado pela Engª Mirtes)" xfId="28"/>
    <cellStyle name="_Flex Memoria_Refeitório  LIDERTEX" xfId="29"/>
    <cellStyle name="_Hotel Canoas" xfId="30"/>
    <cellStyle name="_Planilha alvenaria SALÃO DE EVENTOS BALNEÁRIO CACHOEIRA GRANDE" xfId="31"/>
    <cellStyle name="_Planilha para levantamento de alvenaria" xfId="32"/>
    <cellStyle name="_Planilha para levantamento de revestimento" xfId="33"/>
    <cellStyle name="_Planilha Revestimentos SALÃO DE EVENTOS BALNEÁRIO CACHOEIRA GRANDE" xfId="34"/>
    <cellStyle name="_PLANILHAS  VESTIÁRIOS CACHOEIRA GRANDE" xfId="35"/>
    <cellStyle name="_PLANILHAS GUARITA.PORTARIA BALNEÁRIO CACHOEIRA GRANDE" xfId="36"/>
    <cellStyle name="_SENAC Caldas Novas Memoria" xfId="37"/>
    <cellStyle name="20% - Accent1" xfId="38"/>
    <cellStyle name="20% - Accent2" xfId="39"/>
    <cellStyle name="20% - Accent3" xfId="40"/>
    <cellStyle name="20% - Accent4" xfId="41"/>
    <cellStyle name="20% - Accent5" xfId="42"/>
    <cellStyle name="20% - Accent6" xfId="43"/>
    <cellStyle name="20% - Ênfase1" xfId="44"/>
    <cellStyle name="20% - Ênfase2" xfId="45"/>
    <cellStyle name="20% - Ênfase3" xfId="46"/>
    <cellStyle name="20% - Ênfase4" xfId="47"/>
    <cellStyle name="20% - Ênfase5" xfId="48"/>
    <cellStyle name="20% - Ênfas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40% - Ênfase1" xfId="56"/>
    <cellStyle name="40% - Ênfase2" xfId="57"/>
    <cellStyle name="40% - Ênfase3" xfId="58"/>
    <cellStyle name="40% - Ênfase4" xfId="59"/>
    <cellStyle name="40% - Ênfase5" xfId="60"/>
    <cellStyle name="40% - Ênfase6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Ênfase1" xfId="68"/>
    <cellStyle name="60% - Ênfase2" xfId="69"/>
    <cellStyle name="60% - Ênfase3" xfId="70"/>
    <cellStyle name="60% - Ênfase4" xfId="71"/>
    <cellStyle name="60% - Ênfase5" xfId="72"/>
    <cellStyle name="60% - Ênfase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arrafo de 5" xfId="80"/>
    <cellStyle name="Bad" xfId="81"/>
    <cellStyle name="Bom" xfId="82"/>
    <cellStyle name="Calculation" xfId="83"/>
    <cellStyle name="Cálculo" xfId="84"/>
    <cellStyle name="Célula de Verificação" xfId="85"/>
    <cellStyle name="Célula Vinculada" xfId="86"/>
    <cellStyle name="Check Cell" xfId="87"/>
    <cellStyle name="Data" xfId="88"/>
    <cellStyle name="Ênfase1" xfId="89"/>
    <cellStyle name="Ênfase2" xfId="90"/>
    <cellStyle name="Ênfase3" xfId="91"/>
    <cellStyle name="Ênfase4" xfId="92"/>
    <cellStyle name="Ênfase5" xfId="93"/>
    <cellStyle name="Ênfase6" xfId="94"/>
    <cellStyle name="Entrada" xfId="95"/>
    <cellStyle name="Estilo 1" xfId="96"/>
    <cellStyle name="Euro" xfId="97"/>
    <cellStyle name="Excel Built-in Normal" xfId="98"/>
    <cellStyle name="Excel_BuiltIn_Comma" xfId="99"/>
    <cellStyle name="Explanatory Text" xfId="100"/>
    <cellStyle name="Fixo" xfId="101"/>
    <cellStyle name="Good" xfId="102"/>
    <cellStyle name="Heading" xfId="103"/>
    <cellStyle name="Heading 1" xfId="104"/>
    <cellStyle name="Heading 2" xfId="105"/>
    <cellStyle name="Heading 3" xfId="106"/>
    <cellStyle name="Heading 4" xfId="107"/>
    <cellStyle name="Heading1" xfId="108"/>
    <cellStyle name="Hyperlink" xfId="109"/>
    <cellStyle name="Hyperlink 2" xfId="110"/>
    <cellStyle name="Followed Hyperlink" xfId="111"/>
    <cellStyle name="Incorreto" xfId="112"/>
    <cellStyle name="Input" xfId="113"/>
    <cellStyle name="Linked Cell" xfId="114"/>
    <cellStyle name="Currency" xfId="115"/>
    <cellStyle name="Currency [0]" xfId="116"/>
    <cellStyle name="Moeda 2" xfId="117"/>
    <cellStyle name="Moeda 2 2" xfId="118"/>
    <cellStyle name="Moeda 3" xfId="119"/>
    <cellStyle name="Moeda 4" xfId="120"/>
    <cellStyle name="Moeda 5" xfId="121"/>
    <cellStyle name="Neutra" xfId="122"/>
    <cellStyle name="Neutral" xfId="123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9" xfId="133"/>
    <cellStyle name="Normal 2" xfId="134"/>
    <cellStyle name="Normal 2 10" xfId="135"/>
    <cellStyle name="Normal 2 11" xfId="136"/>
    <cellStyle name="Normal 2 12" xfId="137"/>
    <cellStyle name="Normal 2 13" xfId="138"/>
    <cellStyle name="Normal 2 14" xfId="139"/>
    <cellStyle name="Normal 2 15" xfId="140"/>
    <cellStyle name="Normal 2 16" xfId="141"/>
    <cellStyle name="Normal 2 17" xfId="142"/>
    <cellStyle name="Normal 2 18" xfId="143"/>
    <cellStyle name="Normal 2 19" xfId="144"/>
    <cellStyle name="Normal 2 2" xfId="145"/>
    <cellStyle name="Normal 2 20" xfId="146"/>
    <cellStyle name="Normal 2 3" xfId="147"/>
    <cellStyle name="Normal 2 4" xfId="148"/>
    <cellStyle name="Normal 2 5" xfId="149"/>
    <cellStyle name="Normal 2 6" xfId="150"/>
    <cellStyle name="Normal 2 7" xfId="151"/>
    <cellStyle name="Normal 2 8" xfId="152"/>
    <cellStyle name="Normal 2 9" xfId="153"/>
    <cellStyle name="Normal 2_1  Academia de Policia Memoria" xfId="154"/>
    <cellStyle name="Normal 20" xfId="155"/>
    <cellStyle name="Normal 21" xfId="156"/>
    <cellStyle name="Normal 22" xfId="157"/>
    <cellStyle name="Normal 23" xfId="158"/>
    <cellStyle name="Normal 24" xfId="159"/>
    <cellStyle name="Normal 25" xfId="160"/>
    <cellStyle name="Normal 26" xfId="161"/>
    <cellStyle name="Normal 27" xfId="162"/>
    <cellStyle name="Normal 28" xfId="163"/>
    <cellStyle name="Normal 29" xfId="164"/>
    <cellStyle name="Normal 3" xfId="165"/>
    <cellStyle name="Normal 30" xfId="166"/>
    <cellStyle name="Normal 31" xfId="167"/>
    <cellStyle name="Normal 32" xfId="168"/>
    <cellStyle name="Normal 33" xfId="169"/>
    <cellStyle name="Normal 34" xfId="170"/>
    <cellStyle name="Normal 35" xfId="171"/>
    <cellStyle name="Normal 36" xfId="172"/>
    <cellStyle name="Normal 37" xfId="173"/>
    <cellStyle name="Normal 38" xfId="174"/>
    <cellStyle name="Normal 39" xfId="175"/>
    <cellStyle name="Normal 4" xfId="176"/>
    <cellStyle name="Normal 40" xfId="177"/>
    <cellStyle name="Normal 41" xfId="178"/>
    <cellStyle name="Normal 42" xfId="179"/>
    <cellStyle name="Normal 43" xfId="180"/>
    <cellStyle name="Normal 44" xfId="181"/>
    <cellStyle name="Normal 45" xfId="182"/>
    <cellStyle name="Normal 46" xfId="183"/>
    <cellStyle name="Normal 47" xfId="184"/>
    <cellStyle name="Normal 48" xfId="185"/>
    <cellStyle name="Normal 49" xfId="186"/>
    <cellStyle name="Normal 5" xfId="187"/>
    <cellStyle name="Normal 50" xfId="188"/>
    <cellStyle name="Normal 51" xfId="189"/>
    <cellStyle name="Normal 52" xfId="190"/>
    <cellStyle name="Normal 53" xfId="191"/>
    <cellStyle name="Normal 54" xfId="192"/>
    <cellStyle name="Normal 55" xfId="193"/>
    <cellStyle name="Normal 6" xfId="194"/>
    <cellStyle name="Normal 7" xfId="195"/>
    <cellStyle name="Normal 8" xfId="196"/>
    <cellStyle name="Normal 9" xfId="197"/>
    <cellStyle name="Normal_1  Academia de Policia Memoria" xfId="198"/>
    <cellStyle name="Normal_Orçamento Centro Comercial Lago das Acácias" xfId="199"/>
    <cellStyle name="Nota" xfId="200"/>
    <cellStyle name="Nota 10" xfId="201"/>
    <cellStyle name="Nota 11" xfId="202"/>
    <cellStyle name="Nota 12" xfId="203"/>
    <cellStyle name="Nota 13" xfId="204"/>
    <cellStyle name="Nota 14" xfId="205"/>
    <cellStyle name="Nota 15" xfId="206"/>
    <cellStyle name="Nota 16" xfId="207"/>
    <cellStyle name="Nota 17" xfId="208"/>
    <cellStyle name="Nota 18" xfId="209"/>
    <cellStyle name="Nota 19" xfId="210"/>
    <cellStyle name="Nota 2" xfId="211"/>
    <cellStyle name="Nota 20" xfId="212"/>
    <cellStyle name="Nota 21" xfId="213"/>
    <cellStyle name="Nota 22" xfId="214"/>
    <cellStyle name="Nota 23" xfId="215"/>
    <cellStyle name="Nota 24" xfId="216"/>
    <cellStyle name="Nota 25" xfId="217"/>
    <cellStyle name="Nota 26" xfId="218"/>
    <cellStyle name="Nota 27" xfId="219"/>
    <cellStyle name="Nota 28" xfId="220"/>
    <cellStyle name="Nota 29" xfId="221"/>
    <cellStyle name="Nota 3" xfId="222"/>
    <cellStyle name="Nota 30" xfId="223"/>
    <cellStyle name="Nota 31" xfId="224"/>
    <cellStyle name="Nota 32" xfId="225"/>
    <cellStyle name="Nota 33" xfId="226"/>
    <cellStyle name="Nota 34" xfId="227"/>
    <cellStyle name="Nota 35" xfId="228"/>
    <cellStyle name="Nota 36" xfId="229"/>
    <cellStyle name="Nota 37" xfId="230"/>
    <cellStyle name="Nota 38" xfId="231"/>
    <cellStyle name="Nota 39" xfId="232"/>
    <cellStyle name="Nota 4" xfId="233"/>
    <cellStyle name="Nota 40" xfId="234"/>
    <cellStyle name="Nota 41" xfId="235"/>
    <cellStyle name="Nota 42" xfId="236"/>
    <cellStyle name="Nota 43" xfId="237"/>
    <cellStyle name="Nota 44" xfId="238"/>
    <cellStyle name="Nota 45" xfId="239"/>
    <cellStyle name="Nota 46" xfId="240"/>
    <cellStyle name="Nota 47" xfId="241"/>
    <cellStyle name="Nota 48" xfId="242"/>
    <cellStyle name="Nota 49" xfId="243"/>
    <cellStyle name="Nota 5" xfId="244"/>
    <cellStyle name="Nota 50" xfId="245"/>
    <cellStyle name="Nota 51" xfId="246"/>
    <cellStyle name="Nota 52" xfId="247"/>
    <cellStyle name="Nota 53" xfId="248"/>
    <cellStyle name="Nota 54" xfId="249"/>
    <cellStyle name="Nota 55" xfId="250"/>
    <cellStyle name="Nota 6" xfId="251"/>
    <cellStyle name="Nota 7" xfId="252"/>
    <cellStyle name="Nota 8" xfId="253"/>
    <cellStyle name="Nota 9" xfId="254"/>
    <cellStyle name="Note" xfId="255"/>
    <cellStyle name="Output" xfId="256"/>
    <cellStyle name="Percentual" xfId="257"/>
    <cellStyle name="Ponto" xfId="258"/>
    <cellStyle name="Percent" xfId="259"/>
    <cellStyle name="Porcentagem 2" xfId="260"/>
    <cellStyle name="Result" xfId="261"/>
    <cellStyle name="Result2" xfId="262"/>
    <cellStyle name="Saída" xfId="263"/>
    <cellStyle name="Comma" xfId="264"/>
    <cellStyle name="Comma [0]" xfId="265"/>
    <cellStyle name="Separador de milhares 2" xfId="266"/>
    <cellStyle name="Separador de milhares 2 2" xfId="267"/>
    <cellStyle name="Separador de milhares 3" xfId="268"/>
    <cellStyle name="Separador de milhares 3 2" xfId="269"/>
    <cellStyle name="Separador de milhares 4" xfId="270"/>
    <cellStyle name="Separador de milhares 5" xfId="271"/>
    <cellStyle name="Separador de milhares 6" xfId="272"/>
    <cellStyle name="Separador de milhares 7" xfId="273"/>
    <cellStyle name="Separador de milhares 8" xfId="274"/>
    <cellStyle name="Texto de Aviso" xfId="275"/>
    <cellStyle name="Texto Explicativo" xfId="276"/>
    <cellStyle name="Title" xfId="277"/>
    <cellStyle name="Título" xfId="278"/>
    <cellStyle name="Título 1" xfId="279"/>
    <cellStyle name="Título 1 1" xfId="280"/>
    <cellStyle name="Título 1_A U D I T Ó R I O  -  S E S C    J A T A I  -  A U D I T Ó R I O" xfId="281"/>
    <cellStyle name="Título 2" xfId="282"/>
    <cellStyle name="Título 3" xfId="283"/>
    <cellStyle name="Título 4" xfId="284"/>
    <cellStyle name="Título_A U D I T Ó R I O  -  S E S C    J A T A I  -  A U D I T Ó R I O" xfId="285"/>
    <cellStyle name="Titulo1" xfId="286"/>
    <cellStyle name="Titulo2" xfId="287"/>
    <cellStyle name="Total" xfId="288"/>
    <cellStyle name="UN" xfId="289"/>
    <cellStyle name="UN." xfId="290"/>
    <cellStyle name="Vírgula 2" xfId="291"/>
    <cellStyle name="Warning Text" xfId="2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28575</xdr:rowOff>
    </xdr:from>
    <xdr:to>
      <xdr:col>5</xdr:col>
      <xdr:colOff>38100</xdr:colOff>
      <xdr:row>5</xdr:row>
      <xdr:rowOff>142875</xdr:rowOff>
    </xdr:to>
    <xdr:pic>
      <xdr:nvPicPr>
        <xdr:cNvPr id="1" name="Imagem 1" descr="logo conjun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8575"/>
          <a:ext cx="4467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85725</xdr:rowOff>
    </xdr:from>
    <xdr:to>
      <xdr:col>5</xdr:col>
      <xdr:colOff>514350</xdr:colOff>
      <xdr:row>7</xdr:row>
      <xdr:rowOff>85725</xdr:rowOff>
    </xdr:to>
    <xdr:pic>
      <xdr:nvPicPr>
        <xdr:cNvPr id="1" name="Imagem 1" descr="logo conjun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4467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o%20Luiz\Meus%20documentos\Downloads\Documents%20and%20Settings\Luis%20Tar\Meus%20documentos\Downloads\MEMO%20CALCULO%20-%20CASA%20DE%20ESTUDANTE%2021.09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o%20Luiz\Meus%20documentos\Downloads\Hospital%20de%20Queimaduras%20An&#225;polis\MEMO%20CALCULO%20-%20CASA%20DE%20ESTUDANTE%2021.09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o%20Luiz\Meus%20documentos\Downloads\ENGEBRAS\UFG-Pq.Tecnol&#243;gico\eletrico\HVAC_PQ_TEC_LABORATORIOS__PLANILHA_ORCAMENTARIA_11_10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o%20Luiz\Meus%20documentos\Downloads\ENGEBRAS\UFG-Pq.Tecnol&#243;gico\AR%20CONDICIONADO\AR%20CONDICIONADO%20PLANILHA%20ORCAMENTARI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cademia%20de%20Policia\PREDIO%201%20-%20STAND%20DE%20TIROS\MEMO%20CALCULO%20-%20CASA%20DE%20ESTUDANTE%2021.09.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%20de%20Queimaduras%20An&#225;polis\MEMO%20CALCULO%20-%20CASA%20DE%20ESTUDANTE%2021.09.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NGEBRAS\UFG-Pq.Tecnol&#243;gico\eletrico\HVAC_PQ_TEC_LABORATORIOS__PLANILHA_ORCAMENTARIA_11_10_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NGEBRAS\UFG-Pq.Tecnol&#243;gico\AR%20CONDICIONADO\AR%20CONDICIONADO%20PLANILHA%20ORCAMENTARI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uis%20Tar\Desktop\TARQUINIO%202011\FAGM%20AN&#193;POLIS\LIDERTEX\MEMO%20CALCULO%20-%20CASA%20DE%20ESTUDANTE%2021.09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4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</v>
          </cell>
        </row>
        <row r="7">
          <cell r="C7">
            <v>1.1</v>
          </cell>
        </row>
        <row r="8">
          <cell r="C8">
            <v>1.1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5.01795</v>
          </cell>
        </row>
        <row r="43">
          <cell r="C43">
            <v>7.245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</v>
          </cell>
        </row>
        <row r="48">
          <cell r="C48">
            <v>37.90395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4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</v>
          </cell>
        </row>
        <row r="7">
          <cell r="C7">
            <v>1.1</v>
          </cell>
        </row>
        <row r="8">
          <cell r="C8">
            <v>1.1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5.01795</v>
          </cell>
        </row>
        <row r="43">
          <cell r="C43">
            <v>7.245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</v>
          </cell>
        </row>
        <row r="48">
          <cell r="C48">
            <v>37.90395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workbookViewId="0" topLeftCell="A4">
      <selection activeCell="A1" sqref="A1"/>
    </sheetView>
  </sheetViews>
  <sheetFormatPr defaultColWidth="9.140625" defaultRowHeight="12.75"/>
  <cols>
    <col min="1" max="1" width="7.421875" style="30" customWidth="1"/>
    <col min="2" max="2" width="52.7109375" style="26" customWidth="1"/>
    <col min="3" max="3" width="6.7109375" style="5" customWidth="1"/>
    <col min="4" max="7" width="8.28125" style="25" customWidth="1"/>
    <col min="8" max="8" width="9.7109375" style="5" customWidth="1"/>
    <col min="9" max="9" width="11.28125" style="5" bestFit="1" customWidth="1"/>
    <col min="10" max="16384" width="9.140625" style="5" customWidth="1"/>
  </cols>
  <sheetData>
    <row r="1" spans="1:8" ht="12.75">
      <c r="A1" s="27"/>
      <c r="B1" s="1"/>
      <c r="C1" s="2"/>
      <c r="D1" s="3"/>
      <c r="E1" s="3"/>
      <c r="F1" s="3"/>
      <c r="G1" s="3"/>
      <c r="H1" s="4"/>
    </row>
    <row r="2" spans="1:8" ht="12.75">
      <c r="A2" s="28"/>
      <c r="B2"/>
      <c r="C2" s="6"/>
      <c r="D2" s="7"/>
      <c r="E2" s="7"/>
      <c r="F2" s="7"/>
      <c r="G2" s="7"/>
      <c r="H2" s="8"/>
    </row>
    <row r="3" spans="1:8" ht="12" customHeight="1">
      <c r="A3" s="77"/>
      <c r="B3" s="9"/>
      <c r="C3" s="9"/>
      <c r="D3" s="133"/>
      <c r="E3" s="9"/>
      <c r="F3" s="9"/>
      <c r="G3" s="9"/>
      <c r="H3" s="8"/>
    </row>
    <row r="4" spans="1:8" ht="19.5" customHeight="1">
      <c r="A4" s="78"/>
      <c r="B4" s="10"/>
      <c r="D4" s="134"/>
      <c r="E4" s="10"/>
      <c r="F4" s="10"/>
      <c r="G4" s="10"/>
      <c r="H4" s="11"/>
    </row>
    <row r="5" spans="1:8" ht="12.75" customHeight="1">
      <c r="A5" s="78"/>
      <c r="B5" s="10"/>
      <c r="D5" s="134"/>
      <c r="E5" s="10"/>
      <c r="F5" s="10"/>
      <c r="G5" s="10"/>
      <c r="H5" s="11"/>
    </row>
    <row r="6" spans="1:8" ht="12.75" customHeight="1">
      <c r="A6" s="78"/>
      <c r="B6" s="10"/>
      <c r="D6" s="134"/>
      <c r="E6" s="10"/>
      <c r="F6" s="10"/>
      <c r="G6" s="10"/>
      <c r="H6" s="11"/>
    </row>
    <row r="7" spans="1:8" ht="12.75">
      <c r="A7" s="12" t="s">
        <v>32</v>
      </c>
      <c r="B7" s="191" t="s">
        <v>313</v>
      </c>
      <c r="C7" s="191"/>
      <c r="D7" s="191"/>
      <c r="E7" s="191"/>
      <c r="F7" s="191"/>
      <c r="G7" s="191"/>
      <c r="H7" s="192"/>
    </row>
    <row r="8" spans="1:8" ht="12.75">
      <c r="A8" s="12" t="s">
        <v>33</v>
      </c>
      <c r="B8" s="191" t="s">
        <v>314</v>
      </c>
      <c r="C8" s="191"/>
      <c r="D8" s="191"/>
      <c r="E8" s="191"/>
      <c r="F8" s="191"/>
      <c r="G8" s="191"/>
      <c r="H8" s="192"/>
    </row>
    <row r="9" spans="1:8" ht="12.75">
      <c r="A9" s="12" t="s">
        <v>34</v>
      </c>
      <c r="B9" s="193" t="s">
        <v>315</v>
      </c>
      <c r="C9" s="193"/>
      <c r="D9" s="193"/>
      <c r="E9" s="193"/>
      <c r="F9" s="193"/>
      <c r="G9" s="193"/>
      <c r="H9" s="194"/>
    </row>
    <row r="10" spans="1:8" ht="12.75">
      <c r="A10" s="12" t="s">
        <v>93</v>
      </c>
      <c r="B10" s="84"/>
      <c r="C10" s="84"/>
      <c r="D10" s="135"/>
      <c r="E10" s="84"/>
      <c r="F10" s="84"/>
      <c r="G10" s="84"/>
      <c r="H10" s="85"/>
    </row>
    <row r="11" spans="1:8" ht="12.75">
      <c r="A11" s="188" t="s">
        <v>26</v>
      </c>
      <c r="B11" s="189"/>
      <c r="C11" s="189"/>
      <c r="D11" s="189"/>
      <c r="E11" s="189"/>
      <c r="F11" s="189"/>
      <c r="G11" s="189"/>
      <c r="H11" s="190"/>
    </row>
    <row r="12" spans="1:8" ht="18" customHeight="1">
      <c r="A12" s="13" t="s">
        <v>35</v>
      </c>
      <c r="B12" s="14" t="s">
        <v>36</v>
      </c>
      <c r="C12" s="15" t="s">
        <v>37</v>
      </c>
      <c r="D12" s="136" t="s">
        <v>24</v>
      </c>
      <c r="E12" s="16" t="s">
        <v>38</v>
      </c>
      <c r="F12" s="16" t="s">
        <v>39</v>
      </c>
      <c r="G12" s="15" t="s">
        <v>40</v>
      </c>
      <c r="H12" s="17" t="s">
        <v>41</v>
      </c>
    </row>
    <row r="13" spans="1:8" s="22" customFormat="1" ht="12.75">
      <c r="A13" s="29" t="s">
        <v>42</v>
      </c>
      <c r="B13" s="18" t="s">
        <v>63</v>
      </c>
      <c r="C13" s="19"/>
      <c r="D13" s="20"/>
      <c r="E13" s="20"/>
      <c r="F13" s="20"/>
      <c r="G13" s="20"/>
      <c r="H13" s="21"/>
    </row>
    <row r="14" spans="1:9" ht="12.75">
      <c r="A14" s="31" t="s">
        <v>90</v>
      </c>
      <c r="B14" s="32" t="s">
        <v>11</v>
      </c>
      <c r="C14" s="33" t="s">
        <v>43</v>
      </c>
      <c r="D14" s="41">
        <v>60</v>
      </c>
      <c r="E14" s="34">
        <v>0</v>
      </c>
      <c r="F14" s="34">
        <v>1.92</v>
      </c>
      <c r="G14" s="34">
        <f aca="true" t="shared" si="0" ref="G14:G22">F14+E14</f>
        <v>1.92</v>
      </c>
      <c r="H14" s="35">
        <f aca="true" t="shared" si="1" ref="H14:H22">G14*D14</f>
        <v>115.19999999999999</v>
      </c>
      <c r="I14" s="5">
        <f>6*2+5*1*2+2*17</f>
        <v>56</v>
      </c>
    </row>
    <row r="15" spans="1:9" ht="12.75">
      <c r="A15" s="31" t="s">
        <v>79</v>
      </c>
      <c r="B15" s="32" t="s">
        <v>78</v>
      </c>
      <c r="C15" s="33" t="s">
        <v>43</v>
      </c>
      <c r="D15" s="41">
        <v>28.96</v>
      </c>
      <c r="E15" s="34">
        <v>0</v>
      </c>
      <c r="F15" s="34">
        <v>6.14</v>
      </c>
      <c r="G15" s="34">
        <f t="shared" si="0"/>
        <v>6.14</v>
      </c>
      <c r="H15" s="35">
        <f t="shared" si="1"/>
        <v>177.8144</v>
      </c>
      <c r="I15" s="5">
        <f>0.8*2.1*7+0.6*1.6*1+0.8*2.1*1+0.6*2.1*1+3*2.1*1+2.8*2.5</f>
        <v>28.96</v>
      </c>
    </row>
    <row r="16" spans="1:9" ht="12.75">
      <c r="A16" s="31" t="s">
        <v>81</v>
      </c>
      <c r="B16" s="32" t="s">
        <v>80</v>
      </c>
      <c r="C16" s="33" t="s">
        <v>43</v>
      </c>
      <c r="D16" s="41">
        <v>13</v>
      </c>
      <c r="E16" s="34">
        <v>0</v>
      </c>
      <c r="F16" s="34">
        <v>5.38</v>
      </c>
      <c r="G16" s="34">
        <f t="shared" si="0"/>
        <v>5.38</v>
      </c>
      <c r="H16" s="35">
        <f t="shared" si="1"/>
        <v>69.94</v>
      </c>
      <c r="I16" s="5">
        <f>2.8*4+15*0.2*0.2</f>
        <v>11.799999999999999</v>
      </c>
    </row>
    <row r="17" spans="1:9" ht="12.75">
      <c r="A17" s="31" t="s">
        <v>83</v>
      </c>
      <c r="B17" s="32" t="s">
        <v>82</v>
      </c>
      <c r="C17" s="33" t="s">
        <v>43</v>
      </c>
      <c r="D17" s="41">
        <v>5</v>
      </c>
      <c r="E17" s="34">
        <v>0</v>
      </c>
      <c r="F17" s="34">
        <v>5.91</v>
      </c>
      <c r="G17" s="34">
        <f t="shared" si="0"/>
        <v>5.91</v>
      </c>
      <c r="H17" s="35">
        <f t="shared" si="1"/>
        <v>29.55</v>
      </c>
      <c r="I17" s="5">
        <f>49*0.15*0.15</f>
        <v>1.1024999999999998</v>
      </c>
    </row>
    <row r="18" spans="1:9" ht="12.75">
      <c r="A18" s="31" t="s">
        <v>85</v>
      </c>
      <c r="B18" s="32" t="s">
        <v>84</v>
      </c>
      <c r="C18" s="33" t="s">
        <v>43</v>
      </c>
      <c r="D18" s="41">
        <v>40</v>
      </c>
      <c r="E18" s="34">
        <v>0</v>
      </c>
      <c r="F18" s="34">
        <v>3.84</v>
      </c>
      <c r="G18" s="34">
        <f t="shared" si="0"/>
        <v>3.84</v>
      </c>
      <c r="H18" s="35">
        <f t="shared" si="1"/>
        <v>153.6</v>
      </c>
      <c r="I18" s="5">
        <f>(2+3+2)*0.3+6*2*2</f>
        <v>26.1</v>
      </c>
    </row>
    <row r="19" spans="1:9" ht="12.75">
      <c r="A19" s="31" t="s">
        <v>13</v>
      </c>
      <c r="B19" s="32" t="s">
        <v>12</v>
      </c>
      <c r="C19" s="33" t="s">
        <v>43</v>
      </c>
      <c r="D19" s="41">
        <v>60</v>
      </c>
      <c r="E19" s="34">
        <v>0</v>
      </c>
      <c r="F19" s="34">
        <v>2.88</v>
      </c>
      <c r="G19" s="34">
        <f t="shared" si="0"/>
        <v>2.88</v>
      </c>
      <c r="H19" s="35">
        <f t="shared" si="1"/>
        <v>172.79999999999998</v>
      </c>
      <c r="I19" s="5">
        <f>500*0.3*0.3</f>
        <v>45</v>
      </c>
    </row>
    <row r="20" spans="1:9" ht="12.75">
      <c r="A20" s="31" t="s">
        <v>15</v>
      </c>
      <c r="B20" s="32" t="s">
        <v>14</v>
      </c>
      <c r="C20" s="33" t="s">
        <v>43</v>
      </c>
      <c r="D20" s="41">
        <v>300</v>
      </c>
      <c r="E20" s="34">
        <v>0.82</v>
      </c>
      <c r="F20" s="34">
        <v>0</v>
      </c>
      <c r="G20" s="34">
        <f t="shared" si="0"/>
        <v>0.82</v>
      </c>
      <c r="H20" s="35">
        <f t="shared" si="1"/>
        <v>245.99999999999997</v>
      </c>
      <c r="I20" s="5">
        <f>1111*0.27</f>
        <v>299.97</v>
      </c>
    </row>
    <row r="21" spans="1:8" ht="12.75">
      <c r="A21" s="31" t="s">
        <v>88</v>
      </c>
      <c r="B21" s="32" t="s">
        <v>89</v>
      </c>
      <c r="C21" s="33" t="s">
        <v>43</v>
      </c>
      <c r="D21" s="41">
        <v>18</v>
      </c>
      <c r="E21" s="34">
        <v>106.07</v>
      </c>
      <c r="F21" s="34">
        <v>8.02</v>
      </c>
      <c r="G21" s="34">
        <f t="shared" si="0"/>
        <v>114.08999999999999</v>
      </c>
      <c r="H21" s="35">
        <f t="shared" si="1"/>
        <v>2053.62</v>
      </c>
    </row>
    <row r="22" spans="1:8" ht="12.75" customHeight="1">
      <c r="A22" s="31" t="s">
        <v>16</v>
      </c>
      <c r="B22" s="32" t="s">
        <v>17</v>
      </c>
      <c r="C22" s="33" t="s">
        <v>43</v>
      </c>
      <c r="D22" s="41">
        <v>300</v>
      </c>
      <c r="E22" s="34">
        <v>4.18</v>
      </c>
      <c r="F22" s="34">
        <v>0</v>
      </c>
      <c r="G22" s="34">
        <f t="shared" si="0"/>
        <v>4.18</v>
      </c>
      <c r="H22" s="35">
        <f t="shared" si="1"/>
        <v>1254</v>
      </c>
    </row>
    <row r="23" spans="1:8" ht="12.75">
      <c r="A23" s="31"/>
      <c r="B23" s="36" t="s">
        <v>44</v>
      </c>
      <c r="C23" s="37"/>
      <c r="D23" s="39"/>
      <c r="E23" s="39"/>
      <c r="F23" s="39"/>
      <c r="G23" s="39"/>
      <c r="H23" s="40">
        <f>SUM(H14:H22)</f>
        <v>4272.5244</v>
      </c>
    </row>
    <row r="24" spans="1:8" ht="12.75">
      <c r="A24" s="31"/>
      <c r="B24" s="32"/>
      <c r="C24" s="33"/>
      <c r="D24" s="41"/>
      <c r="E24" s="41"/>
      <c r="F24" s="41"/>
      <c r="G24" s="41"/>
      <c r="H24" s="42"/>
    </row>
    <row r="25" spans="1:8" ht="12.75">
      <c r="A25" s="31" t="s">
        <v>91</v>
      </c>
      <c r="B25" s="23" t="s">
        <v>92</v>
      </c>
      <c r="C25" s="33"/>
      <c r="D25" s="41"/>
      <c r="E25" s="41"/>
      <c r="F25" s="41"/>
      <c r="G25" s="41"/>
      <c r="H25" s="42"/>
    </row>
    <row r="26" spans="1:9" ht="12.75">
      <c r="A26" s="31" t="s">
        <v>87</v>
      </c>
      <c r="B26" s="32" t="s">
        <v>86</v>
      </c>
      <c r="C26" s="33" t="s">
        <v>64</v>
      </c>
      <c r="D26" s="41">
        <v>15</v>
      </c>
      <c r="E26" s="41">
        <v>18.78</v>
      </c>
      <c r="F26" s="41">
        <v>0</v>
      </c>
      <c r="G26" s="41">
        <f>F26+E26</f>
        <v>18.78</v>
      </c>
      <c r="H26" s="42">
        <f>G26*D26</f>
        <v>281.70000000000005</v>
      </c>
      <c r="I26" s="5">
        <f>60*0.1+18.6*0.1+8*0.05+5*0.05+40*0.05+60*0.05</f>
        <v>13.51</v>
      </c>
    </row>
    <row r="27" spans="1:8" ht="12.75">
      <c r="A27" s="31"/>
      <c r="B27" s="24" t="s">
        <v>44</v>
      </c>
      <c r="C27" s="33"/>
      <c r="D27" s="41"/>
      <c r="E27" s="41"/>
      <c r="F27" s="41"/>
      <c r="G27" s="41"/>
      <c r="H27" s="40">
        <f>SUM(H26:H26)</f>
        <v>281.70000000000005</v>
      </c>
    </row>
    <row r="28" spans="1:8" ht="12.75">
      <c r="A28" s="31"/>
      <c r="B28" s="24"/>
      <c r="C28" s="33"/>
      <c r="D28" s="41"/>
      <c r="E28" s="41"/>
      <c r="F28" s="41"/>
      <c r="G28" s="41"/>
      <c r="H28" s="40"/>
    </row>
    <row r="29" spans="1:8" ht="12.75">
      <c r="A29" s="31" t="s">
        <v>46</v>
      </c>
      <c r="B29" s="23" t="s">
        <v>66</v>
      </c>
      <c r="C29" s="33"/>
      <c r="D29" s="41"/>
      <c r="E29" s="41"/>
      <c r="F29" s="41"/>
      <c r="G29" s="41"/>
      <c r="H29" s="42"/>
    </row>
    <row r="30" spans="1:8" ht="12.75" customHeight="1">
      <c r="A30" s="139" t="s">
        <v>47</v>
      </c>
      <c r="B30" s="140" t="s">
        <v>94</v>
      </c>
      <c r="C30" s="141" t="s">
        <v>76</v>
      </c>
      <c r="D30" s="142">
        <v>20</v>
      </c>
      <c r="E30" s="143">
        <v>0</v>
      </c>
      <c r="F30" s="143">
        <v>11.59</v>
      </c>
      <c r="G30" s="143">
        <f aca="true" t="shared" si="2" ref="G30:G59">F30+E30</f>
        <v>11.59</v>
      </c>
      <c r="H30" s="144">
        <f aca="true" t="shared" si="3" ref="H30:H59">G30*D30</f>
        <v>231.8</v>
      </c>
    </row>
    <row r="31" spans="1:8" ht="12.75" customHeight="1">
      <c r="A31" s="139" t="s">
        <v>95</v>
      </c>
      <c r="B31" s="140" t="s">
        <v>120</v>
      </c>
      <c r="C31" s="141" t="s">
        <v>22</v>
      </c>
      <c r="D31" s="142">
        <v>15</v>
      </c>
      <c r="E31" s="143">
        <v>3.35</v>
      </c>
      <c r="F31" s="143">
        <v>1.61</v>
      </c>
      <c r="G31" s="143">
        <f t="shared" si="2"/>
        <v>4.96</v>
      </c>
      <c r="H31" s="144">
        <f t="shared" si="3"/>
        <v>74.4</v>
      </c>
    </row>
    <row r="32" spans="1:8" ht="12.75" customHeight="1">
      <c r="A32" s="139" t="s">
        <v>96</v>
      </c>
      <c r="B32" s="140" t="s">
        <v>121</v>
      </c>
      <c r="C32" s="141" t="s">
        <v>23</v>
      </c>
      <c r="D32" s="142">
        <v>2</v>
      </c>
      <c r="E32" s="143">
        <v>10.97</v>
      </c>
      <c r="F32" s="143">
        <v>25.04</v>
      </c>
      <c r="G32" s="143">
        <f t="shared" si="2"/>
        <v>36.01</v>
      </c>
      <c r="H32" s="144">
        <f t="shared" si="3"/>
        <v>72.02</v>
      </c>
    </row>
    <row r="33" spans="1:8" ht="12.75" customHeight="1">
      <c r="A33" s="139" t="s">
        <v>97</v>
      </c>
      <c r="B33" s="140" t="s">
        <v>122</v>
      </c>
      <c r="C33" s="141" t="s">
        <v>23</v>
      </c>
      <c r="D33" s="142">
        <v>1</v>
      </c>
      <c r="E33" s="143">
        <v>40.61</v>
      </c>
      <c r="F33" s="143">
        <v>40.06</v>
      </c>
      <c r="G33" s="143">
        <f t="shared" si="2"/>
        <v>80.67</v>
      </c>
      <c r="H33" s="144">
        <f t="shared" si="3"/>
        <v>80.67</v>
      </c>
    </row>
    <row r="34" spans="1:8" ht="12.75" customHeight="1">
      <c r="A34" s="139" t="s">
        <v>98</v>
      </c>
      <c r="B34" s="140" t="s">
        <v>123</v>
      </c>
      <c r="C34" s="141" t="s">
        <v>23</v>
      </c>
      <c r="D34" s="142">
        <v>5</v>
      </c>
      <c r="E34" s="143">
        <v>2.79</v>
      </c>
      <c r="F34" s="143">
        <v>3.01</v>
      </c>
      <c r="G34" s="143">
        <f t="shared" si="2"/>
        <v>5.8</v>
      </c>
      <c r="H34" s="144">
        <f t="shared" si="3"/>
        <v>29</v>
      </c>
    </row>
    <row r="35" spans="1:8" ht="12.75" customHeight="1">
      <c r="A35" s="139" t="s">
        <v>99</v>
      </c>
      <c r="B35" s="140" t="s">
        <v>124</v>
      </c>
      <c r="C35" s="141" t="s">
        <v>23</v>
      </c>
      <c r="D35" s="142">
        <v>10</v>
      </c>
      <c r="E35" s="143">
        <v>0.96</v>
      </c>
      <c r="F35" s="143">
        <v>3.01</v>
      </c>
      <c r="G35" s="143">
        <f t="shared" si="2"/>
        <v>3.9699999999999998</v>
      </c>
      <c r="H35" s="144">
        <f t="shared" si="3"/>
        <v>39.699999999999996</v>
      </c>
    </row>
    <row r="36" spans="1:8" ht="12.75" customHeight="1">
      <c r="A36" s="139" t="s">
        <v>316</v>
      </c>
      <c r="B36" s="140" t="s">
        <v>317</v>
      </c>
      <c r="C36" s="141" t="s">
        <v>23</v>
      </c>
      <c r="D36" s="142">
        <v>1</v>
      </c>
      <c r="E36" s="143">
        <v>200.97</v>
      </c>
      <c r="F36" s="143">
        <v>50.08</v>
      </c>
      <c r="G36" s="143">
        <f t="shared" si="2"/>
        <v>251.05</v>
      </c>
      <c r="H36" s="144">
        <f t="shared" si="3"/>
        <v>251.05</v>
      </c>
    </row>
    <row r="37" spans="1:8" ht="12.75" customHeight="1">
      <c r="A37" s="139" t="s">
        <v>100</v>
      </c>
      <c r="B37" s="140" t="s">
        <v>125</v>
      </c>
      <c r="C37" s="141" t="s">
        <v>23</v>
      </c>
      <c r="D37" s="142">
        <v>20</v>
      </c>
      <c r="E37" s="143">
        <v>5.98</v>
      </c>
      <c r="F37" s="143">
        <v>6.01</v>
      </c>
      <c r="G37" s="143">
        <f t="shared" si="2"/>
        <v>11.99</v>
      </c>
      <c r="H37" s="144">
        <f t="shared" si="3"/>
        <v>239.8</v>
      </c>
    </row>
    <row r="38" spans="1:8" ht="12.75" customHeight="1">
      <c r="A38" s="139" t="s">
        <v>260</v>
      </c>
      <c r="B38" s="140" t="s">
        <v>261</v>
      </c>
      <c r="C38" s="145" t="s">
        <v>22</v>
      </c>
      <c r="D38" s="142">
        <v>10</v>
      </c>
      <c r="E38" s="143">
        <v>6</v>
      </c>
      <c r="F38" s="143">
        <v>6.01</v>
      </c>
      <c r="G38" s="143">
        <f t="shared" si="2"/>
        <v>12.01</v>
      </c>
      <c r="H38" s="144">
        <f t="shared" si="3"/>
        <v>120.1</v>
      </c>
    </row>
    <row r="39" spans="1:8" ht="12.75" customHeight="1">
      <c r="A39" s="139" t="s">
        <v>101</v>
      </c>
      <c r="B39" s="140" t="s">
        <v>102</v>
      </c>
      <c r="C39" s="141" t="s">
        <v>23</v>
      </c>
      <c r="D39" s="142">
        <v>1</v>
      </c>
      <c r="E39" s="143">
        <v>59.12</v>
      </c>
      <c r="F39" s="143">
        <v>40.06</v>
      </c>
      <c r="G39" s="143">
        <f t="shared" si="2"/>
        <v>99.18</v>
      </c>
      <c r="H39" s="144">
        <f t="shared" si="3"/>
        <v>99.18</v>
      </c>
    </row>
    <row r="40" spans="1:8" ht="12.75" customHeight="1">
      <c r="A40" s="139" t="s">
        <v>103</v>
      </c>
      <c r="B40" s="140" t="s">
        <v>126</v>
      </c>
      <c r="C40" s="141" t="s">
        <v>22</v>
      </c>
      <c r="D40" s="142">
        <v>100</v>
      </c>
      <c r="E40" s="143">
        <v>0.74</v>
      </c>
      <c r="F40" s="143">
        <v>1.1</v>
      </c>
      <c r="G40" s="143">
        <f t="shared" si="2"/>
        <v>1.84</v>
      </c>
      <c r="H40" s="144">
        <f t="shared" si="3"/>
        <v>184</v>
      </c>
    </row>
    <row r="41" spans="1:8" ht="12.75" customHeight="1">
      <c r="A41" s="139" t="s">
        <v>104</v>
      </c>
      <c r="B41" s="140" t="s">
        <v>127</v>
      </c>
      <c r="C41" s="141" t="s">
        <v>22</v>
      </c>
      <c r="D41" s="142">
        <v>100</v>
      </c>
      <c r="E41" s="143">
        <v>1.2</v>
      </c>
      <c r="F41" s="143">
        <v>1.21</v>
      </c>
      <c r="G41" s="143">
        <f t="shared" si="2"/>
        <v>2.41</v>
      </c>
      <c r="H41" s="144">
        <f t="shared" si="3"/>
        <v>241</v>
      </c>
    </row>
    <row r="42" spans="1:8" ht="12.75" customHeight="1">
      <c r="A42" s="139" t="s">
        <v>105</v>
      </c>
      <c r="B42" s="140" t="s">
        <v>128</v>
      </c>
      <c r="C42" s="141" t="s">
        <v>22</v>
      </c>
      <c r="D42" s="142">
        <v>10</v>
      </c>
      <c r="E42" s="143">
        <v>0.78</v>
      </c>
      <c r="F42" s="143">
        <v>1.21</v>
      </c>
      <c r="G42" s="143">
        <f t="shared" si="2"/>
        <v>1.99</v>
      </c>
      <c r="H42" s="144">
        <f t="shared" si="3"/>
        <v>19.9</v>
      </c>
    </row>
    <row r="43" spans="1:8" ht="12.75" customHeight="1">
      <c r="A43" s="139" t="s">
        <v>106</v>
      </c>
      <c r="B43" s="140" t="s">
        <v>129</v>
      </c>
      <c r="C43" s="141" t="s">
        <v>23</v>
      </c>
      <c r="D43" s="142">
        <v>10</v>
      </c>
      <c r="E43" s="143">
        <v>11.07</v>
      </c>
      <c r="F43" s="143">
        <v>4.01</v>
      </c>
      <c r="G43" s="143">
        <f t="shared" si="2"/>
        <v>15.08</v>
      </c>
      <c r="H43" s="144">
        <f t="shared" si="3"/>
        <v>150.8</v>
      </c>
    </row>
    <row r="44" spans="1:8" ht="12.75" customHeight="1">
      <c r="A44" s="139" t="s">
        <v>107</v>
      </c>
      <c r="B44" s="140" t="s">
        <v>130</v>
      </c>
      <c r="C44" s="141" t="s">
        <v>23</v>
      </c>
      <c r="D44" s="142">
        <v>6</v>
      </c>
      <c r="E44" s="143">
        <v>20.34</v>
      </c>
      <c r="F44" s="143">
        <v>6.01</v>
      </c>
      <c r="G44" s="143">
        <f t="shared" si="2"/>
        <v>26.35</v>
      </c>
      <c r="H44" s="144">
        <f t="shared" si="3"/>
        <v>158.10000000000002</v>
      </c>
    </row>
    <row r="45" spans="1:8" ht="12.75" customHeight="1">
      <c r="A45" s="139" t="s">
        <v>108</v>
      </c>
      <c r="B45" s="140" t="s">
        <v>10</v>
      </c>
      <c r="C45" s="141" t="s">
        <v>23</v>
      </c>
      <c r="D45" s="142">
        <v>5</v>
      </c>
      <c r="E45" s="143">
        <v>4.22</v>
      </c>
      <c r="F45" s="143">
        <v>4.2</v>
      </c>
      <c r="G45" s="143">
        <f t="shared" si="2"/>
        <v>8.42</v>
      </c>
      <c r="H45" s="144">
        <f t="shared" si="3"/>
        <v>42.1</v>
      </c>
    </row>
    <row r="46" spans="1:8" ht="12.75" customHeight="1">
      <c r="A46" s="139" t="s">
        <v>109</v>
      </c>
      <c r="B46" s="140" t="s">
        <v>131</v>
      </c>
      <c r="C46" s="141" t="s">
        <v>23</v>
      </c>
      <c r="D46" s="142">
        <v>15</v>
      </c>
      <c r="E46" s="143">
        <v>37.52</v>
      </c>
      <c r="F46" s="143">
        <v>1.61</v>
      </c>
      <c r="G46" s="143">
        <f t="shared" si="2"/>
        <v>39.13</v>
      </c>
      <c r="H46" s="144">
        <f t="shared" si="3"/>
        <v>586.95</v>
      </c>
    </row>
    <row r="47" spans="1:8" ht="12.75" customHeight="1">
      <c r="A47" s="139" t="s">
        <v>110</v>
      </c>
      <c r="B47" s="140" t="s">
        <v>0</v>
      </c>
      <c r="C47" s="141" t="s">
        <v>23</v>
      </c>
      <c r="D47" s="142">
        <v>7</v>
      </c>
      <c r="E47" s="143">
        <v>60.31</v>
      </c>
      <c r="F47" s="143">
        <v>1.61</v>
      </c>
      <c r="G47" s="143">
        <f t="shared" si="2"/>
        <v>61.92</v>
      </c>
      <c r="H47" s="144">
        <f t="shared" si="3"/>
        <v>433.44</v>
      </c>
    </row>
    <row r="48" spans="1:8" ht="12.75" customHeight="1">
      <c r="A48" s="139" t="s">
        <v>262</v>
      </c>
      <c r="B48" s="140" t="s">
        <v>263</v>
      </c>
      <c r="C48" s="141" t="s">
        <v>23</v>
      </c>
      <c r="D48" s="142">
        <v>23</v>
      </c>
      <c r="E48" s="143">
        <v>8.3</v>
      </c>
      <c r="F48" s="143">
        <v>0.13</v>
      </c>
      <c r="G48" s="143">
        <f t="shared" si="2"/>
        <v>8.430000000000001</v>
      </c>
      <c r="H48" s="144">
        <f t="shared" si="3"/>
        <v>193.89000000000004</v>
      </c>
    </row>
    <row r="49" spans="1:8" ht="12.75" customHeight="1">
      <c r="A49" s="139" t="s">
        <v>264</v>
      </c>
      <c r="B49" s="140" t="s">
        <v>265</v>
      </c>
      <c r="C49" s="141" t="s">
        <v>23</v>
      </c>
      <c r="D49" s="142">
        <v>23</v>
      </c>
      <c r="E49" s="143">
        <v>5.09</v>
      </c>
      <c r="F49" s="143">
        <v>12.01</v>
      </c>
      <c r="G49" s="143">
        <f t="shared" si="2"/>
        <v>17.1</v>
      </c>
      <c r="H49" s="144">
        <f t="shared" si="3"/>
        <v>393.3</v>
      </c>
    </row>
    <row r="50" spans="1:8" ht="12.75" customHeight="1">
      <c r="A50" s="139" t="s">
        <v>111</v>
      </c>
      <c r="B50" s="140" t="s">
        <v>1</v>
      </c>
      <c r="C50" s="141" t="s">
        <v>23</v>
      </c>
      <c r="D50" s="142">
        <v>10</v>
      </c>
      <c r="E50" s="143">
        <v>10.22</v>
      </c>
      <c r="F50" s="143">
        <v>0.3</v>
      </c>
      <c r="G50" s="143">
        <f t="shared" si="2"/>
        <v>10.520000000000001</v>
      </c>
      <c r="H50" s="144">
        <f t="shared" si="3"/>
        <v>105.20000000000002</v>
      </c>
    </row>
    <row r="51" spans="1:8" ht="12.75" customHeight="1">
      <c r="A51" s="139" t="s">
        <v>112</v>
      </c>
      <c r="B51" s="140" t="s">
        <v>2</v>
      </c>
      <c r="C51" s="141" t="s">
        <v>23</v>
      </c>
      <c r="D51" s="142">
        <v>10</v>
      </c>
      <c r="E51" s="143">
        <v>75.81</v>
      </c>
      <c r="F51" s="143">
        <v>8.02</v>
      </c>
      <c r="G51" s="143">
        <f t="shared" si="2"/>
        <v>83.83</v>
      </c>
      <c r="H51" s="144">
        <f t="shared" si="3"/>
        <v>838.3</v>
      </c>
    </row>
    <row r="52" spans="1:8" ht="12.75" customHeight="1">
      <c r="A52" s="139" t="s">
        <v>113</v>
      </c>
      <c r="B52" s="140" t="s">
        <v>3</v>
      </c>
      <c r="C52" s="141" t="s">
        <v>23</v>
      </c>
      <c r="D52" s="142">
        <v>2</v>
      </c>
      <c r="E52" s="143">
        <v>63.74</v>
      </c>
      <c r="F52" s="143">
        <v>40.06</v>
      </c>
      <c r="G52" s="143">
        <f t="shared" si="2"/>
        <v>103.80000000000001</v>
      </c>
      <c r="H52" s="144">
        <f t="shared" si="3"/>
        <v>207.60000000000002</v>
      </c>
    </row>
    <row r="53" spans="1:8" ht="12.75" customHeight="1">
      <c r="A53" s="139" t="s">
        <v>114</v>
      </c>
      <c r="B53" s="140" t="s">
        <v>4</v>
      </c>
      <c r="C53" s="141" t="s">
        <v>23</v>
      </c>
      <c r="D53" s="142">
        <v>2</v>
      </c>
      <c r="E53" s="143">
        <v>65.04</v>
      </c>
      <c r="F53" s="143">
        <v>0</v>
      </c>
      <c r="G53" s="143">
        <f t="shared" si="2"/>
        <v>65.04</v>
      </c>
      <c r="H53" s="144">
        <f t="shared" si="3"/>
        <v>130.08</v>
      </c>
    </row>
    <row r="54" spans="1:8" ht="12.75" customHeight="1">
      <c r="A54" s="139" t="s">
        <v>266</v>
      </c>
      <c r="B54" s="140" t="s">
        <v>267</v>
      </c>
      <c r="C54" s="141" t="s">
        <v>23</v>
      </c>
      <c r="D54" s="142">
        <v>1</v>
      </c>
      <c r="E54" s="143">
        <v>148.31</v>
      </c>
      <c r="F54" s="143">
        <v>40.06</v>
      </c>
      <c r="G54" s="143">
        <f t="shared" si="2"/>
        <v>188.37</v>
      </c>
      <c r="H54" s="144">
        <f t="shared" si="3"/>
        <v>188.37</v>
      </c>
    </row>
    <row r="55" spans="1:8" ht="12.75" customHeight="1">
      <c r="A55" s="139" t="s">
        <v>115</v>
      </c>
      <c r="B55" s="140" t="s">
        <v>5</v>
      </c>
      <c r="C55" s="141" t="s">
        <v>23</v>
      </c>
      <c r="D55" s="142">
        <v>1</v>
      </c>
      <c r="E55" s="143">
        <v>13.56</v>
      </c>
      <c r="F55" s="143">
        <v>20.03</v>
      </c>
      <c r="G55" s="143">
        <f t="shared" si="2"/>
        <v>33.59</v>
      </c>
      <c r="H55" s="144">
        <f t="shared" si="3"/>
        <v>33.59</v>
      </c>
    </row>
    <row r="56" spans="1:8" ht="12.75" customHeight="1">
      <c r="A56" s="139" t="s">
        <v>116</v>
      </c>
      <c r="B56" s="140" t="s">
        <v>6</v>
      </c>
      <c r="C56" s="141" t="s">
        <v>23</v>
      </c>
      <c r="D56" s="142">
        <v>7</v>
      </c>
      <c r="E56" s="143">
        <v>83</v>
      </c>
      <c r="F56" s="143">
        <v>16.02</v>
      </c>
      <c r="G56" s="143">
        <f t="shared" si="2"/>
        <v>99.02</v>
      </c>
      <c r="H56" s="144">
        <f t="shared" si="3"/>
        <v>693.14</v>
      </c>
    </row>
    <row r="57" spans="1:8" ht="12.75" customHeight="1">
      <c r="A57" s="139" t="s">
        <v>117</v>
      </c>
      <c r="B57" s="140" t="s">
        <v>7</v>
      </c>
      <c r="C57" s="141" t="s">
        <v>23</v>
      </c>
      <c r="D57" s="142">
        <v>15</v>
      </c>
      <c r="E57" s="143">
        <v>71.1</v>
      </c>
      <c r="F57" s="143">
        <v>16.02</v>
      </c>
      <c r="G57" s="143">
        <f t="shared" si="2"/>
        <v>87.11999999999999</v>
      </c>
      <c r="H57" s="144">
        <f t="shared" si="3"/>
        <v>1306.8</v>
      </c>
    </row>
    <row r="58" spans="1:8" ht="12.75" customHeight="1">
      <c r="A58" s="139" t="s">
        <v>118</v>
      </c>
      <c r="B58" s="140" t="s">
        <v>8</v>
      </c>
      <c r="C58" s="141" t="s">
        <v>23</v>
      </c>
      <c r="D58" s="142">
        <v>5</v>
      </c>
      <c r="E58" s="143">
        <v>6.42</v>
      </c>
      <c r="F58" s="143">
        <v>5.81</v>
      </c>
      <c r="G58" s="143">
        <f t="shared" si="2"/>
        <v>12.23</v>
      </c>
      <c r="H58" s="144">
        <f t="shared" si="3"/>
        <v>61.150000000000006</v>
      </c>
    </row>
    <row r="59" spans="1:8" ht="12.75" customHeight="1">
      <c r="A59" s="139" t="s">
        <v>119</v>
      </c>
      <c r="B59" s="140" t="s">
        <v>9</v>
      </c>
      <c r="C59" s="141" t="s">
        <v>23</v>
      </c>
      <c r="D59" s="142">
        <v>1</v>
      </c>
      <c r="E59" s="143">
        <v>2.97</v>
      </c>
      <c r="F59" s="143">
        <v>7.41</v>
      </c>
      <c r="G59" s="143">
        <f t="shared" si="2"/>
        <v>10.38</v>
      </c>
      <c r="H59" s="144">
        <f t="shared" si="3"/>
        <v>10.38</v>
      </c>
    </row>
    <row r="60" spans="1:8" ht="12.75">
      <c r="A60" s="31"/>
      <c r="B60" s="24" t="s">
        <v>44</v>
      </c>
      <c r="C60" s="33"/>
      <c r="D60" s="41"/>
      <c r="E60" s="41"/>
      <c r="F60" s="41"/>
      <c r="G60" s="41"/>
      <c r="H60" s="40">
        <f>SUM(H30:H59)</f>
        <v>7215.81</v>
      </c>
    </row>
    <row r="61" spans="1:8" ht="12.75">
      <c r="A61" s="31"/>
      <c r="B61" s="24"/>
      <c r="C61" s="33"/>
      <c r="D61" s="41"/>
      <c r="E61" s="41"/>
      <c r="F61" s="41"/>
      <c r="G61" s="41"/>
      <c r="H61" s="40"/>
    </row>
    <row r="62" spans="1:8" ht="12.75">
      <c r="A62" s="31" t="s">
        <v>48</v>
      </c>
      <c r="B62" s="23" t="s">
        <v>67</v>
      </c>
      <c r="C62" s="33"/>
      <c r="D62" s="41"/>
      <c r="E62" s="41"/>
      <c r="F62" s="41"/>
      <c r="G62" s="41"/>
      <c r="H62" s="42"/>
    </row>
    <row r="63" spans="1:8" ht="12.75" customHeight="1">
      <c r="A63" s="31"/>
      <c r="B63" s="32" t="s">
        <v>18</v>
      </c>
      <c r="C63" s="33" t="s">
        <v>23</v>
      </c>
      <c r="D63" s="41">
        <v>1</v>
      </c>
      <c r="E63" s="41">
        <v>600</v>
      </c>
      <c r="F63" s="41">
        <v>0</v>
      </c>
      <c r="G63" s="41">
        <f aca="true" t="shared" si="4" ref="G63:G74">F63+E63</f>
        <v>600</v>
      </c>
      <c r="H63" s="42">
        <f aca="true" t="shared" si="5" ref="H63:H74">G63*D63</f>
        <v>600</v>
      </c>
    </row>
    <row r="64" spans="1:8" ht="12.75" customHeight="1">
      <c r="A64" s="31"/>
      <c r="B64" s="32" t="s">
        <v>19</v>
      </c>
      <c r="C64" s="33" t="s">
        <v>23</v>
      </c>
      <c r="D64" s="41">
        <v>2</v>
      </c>
      <c r="E64" s="83">
        <v>30</v>
      </c>
      <c r="F64" s="41">
        <v>0</v>
      </c>
      <c r="G64" s="41">
        <f t="shared" si="4"/>
        <v>30</v>
      </c>
      <c r="H64" s="42">
        <f t="shared" si="5"/>
        <v>60</v>
      </c>
    </row>
    <row r="65" spans="1:8" ht="12.75" customHeight="1">
      <c r="A65" s="31"/>
      <c r="B65" s="32" t="s">
        <v>20</v>
      </c>
      <c r="C65" s="33" t="s">
        <v>23</v>
      </c>
      <c r="D65" s="41">
        <v>3</v>
      </c>
      <c r="E65" s="83">
        <v>20</v>
      </c>
      <c r="F65" s="41">
        <v>0</v>
      </c>
      <c r="G65" s="41">
        <f t="shared" si="4"/>
        <v>20</v>
      </c>
      <c r="H65" s="42">
        <f t="shared" si="5"/>
        <v>60</v>
      </c>
    </row>
    <row r="66" spans="1:8" ht="12.75" customHeight="1">
      <c r="A66" s="31" t="s">
        <v>318</v>
      </c>
      <c r="B66" s="32" t="s">
        <v>319</v>
      </c>
      <c r="C66" s="33" t="s">
        <v>23</v>
      </c>
      <c r="D66" s="41">
        <v>1</v>
      </c>
      <c r="E66" s="83">
        <v>143.44</v>
      </c>
      <c r="F66" s="41">
        <v>6.81</v>
      </c>
      <c r="G66" s="41">
        <f t="shared" si="4"/>
        <v>150.25</v>
      </c>
      <c r="H66" s="42">
        <f t="shared" si="5"/>
        <v>150.25</v>
      </c>
    </row>
    <row r="67" spans="1:8" ht="12.75" customHeight="1">
      <c r="A67" s="31" t="s">
        <v>257</v>
      </c>
      <c r="B67" s="32" t="s">
        <v>256</v>
      </c>
      <c r="C67" s="33" t="s">
        <v>23</v>
      </c>
      <c r="D67" s="41">
        <v>1</v>
      </c>
      <c r="E67" s="83">
        <v>34.2</v>
      </c>
      <c r="F67" s="41">
        <v>7.21</v>
      </c>
      <c r="G67" s="41">
        <f t="shared" si="4"/>
        <v>41.410000000000004</v>
      </c>
      <c r="H67" s="42">
        <f t="shared" si="5"/>
        <v>41.410000000000004</v>
      </c>
    </row>
    <row r="68" spans="1:8" ht="12.75">
      <c r="A68" s="31" t="s">
        <v>320</v>
      </c>
      <c r="B68" s="32" t="s">
        <v>321</v>
      </c>
      <c r="C68" s="33" t="s">
        <v>23</v>
      </c>
      <c r="D68" s="41">
        <v>5</v>
      </c>
      <c r="E68" s="83">
        <v>43.83</v>
      </c>
      <c r="F68" s="41">
        <v>2.32</v>
      </c>
      <c r="G68" s="41">
        <f t="shared" si="4"/>
        <v>46.15</v>
      </c>
      <c r="H68" s="42">
        <f t="shared" si="5"/>
        <v>230.75</v>
      </c>
    </row>
    <row r="69" spans="1:8" ht="13.5" customHeight="1">
      <c r="A69" s="31" t="s">
        <v>133</v>
      </c>
      <c r="B69" s="32" t="s">
        <v>134</v>
      </c>
      <c r="C69" s="33" t="s">
        <v>23</v>
      </c>
      <c r="D69" s="41">
        <v>4</v>
      </c>
      <c r="E69" s="83">
        <v>1.1</v>
      </c>
      <c r="F69" s="41">
        <v>1.61</v>
      </c>
      <c r="G69" s="41">
        <f>F69+E69</f>
        <v>2.71</v>
      </c>
      <c r="H69" s="42">
        <f>G69*D69</f>
        <v>10.84</v>
      </c>
    </row>
    <row r="70" spans="1:8" ht="13.5" customHeight="1">
      <c r="A70" s="31" t="s">
        <v>322</v>
      </c>
      <c r="B70" s="32" t="s">
        <v>323</v>
      </c>
      <c r="C70" s="33" t="s">
        <v>23</v>
      </c>
      <c r="D70" s="41">
        <v>1</v>
      </c>
      <c r="E70" s="83">
        <v>40.68</v>
      </c>
      <c r="F70" s="41">
        <v>2.8</v>
      </c>
      <c r="G70" s="41">
        <f t="shared" si="4"/>
        <v>43.48</v>
      </c>
      <c r="H70" s="42">
        <f t="shared" si="5"/>
        <v>43.48</v>
      </c>
    </row>
    <row r="71" spans="1:8" ht="12.75">
      <c r="A71" s="31" t="s">
        <v>324</v>
      </c>
      <c r="B71" s="32" t="s">
        <v>325</v>
      </c>
      <c r="C71" s="33" t="s">
        <v>22</v>
      </c>
      <c r="D71" s="41">
        <v>3</v>
      </c>
      <c r="E71" s="83">
        <v>6.59</v>
      </c>
      <c r="F71" s="41">
        <v>10.42</v>
      </c>
      <c r="G71" s="41">
        <f t="shared" si="4"/>
        <v>17.009999999999998</v>
      </c>
      <c r="H71" s="42">
        <f t="shared" si="5"/>
        <v>51.029999999999994</v>
      </c>
    </row>
    <row r="72" spans="1:8" ht="13.5" customHeight="1">
      <c r="A72" s="31" t="s">
        <v>326</v>
      </c>
      <c r="B72" s="32" t="s">
        <v>327</v>
      </c>
      <c r="C72" s="33" t="s">
        <v>23</v>
      </c>
      <c r="D72" s="41">
        <v>11</v>
      </c>
      <c r="E72" s="83">
        <v>26.45</v>
      </c>
      <c r="F72" s="41">
        <v>13.09</v>
      </c>
      <c r="G72" s="41">
        <f t="shared" si="4"/>
        <v>39.54</v>
      </c>
      <c r="H72" s="42">
        <f t="shared" si="5"/>
        <v>434.94</v>
      </c>
    </row>
    <row r="73" spans="1:8" ht="13.5" customHeight="1">
      <c r="A73" s="31" t="s">
        <v>328</v>
      </c>
      <c r="B73" s="32" t="s">
        <v>329</v>
      </c>
      <c r="C73" s="33" t="s">
        <v>23</v>
      </c>
      <c r="D73" s="41">
        <v>1</v>
      </c>
      <c r="E73" s="41">
        <v>6.93</v>
      </c>
      <c r="F73" s="41">
        <v>24.25</v>
      </c>
      <c r="G73" s="41">
        <f t="shared" si="4"/>
        <v>31.18</v>
      </c>
      <c r="H73" s="42">
        <f t="shared" si="5"/>
        <v>31.18</v>
      </c>
    </row>
    <row r="74" spans="1:8" ht="13.5" customHeight="1">
      <c r="A74" s="31"/>
      <c r="B74" s="32" t="s">
        <v>21</v>
      </c>
      <c r="C74" s="33" t="s">
        <v>76</v>
      </c>
      <c r="D74" s="41">
        <v>40</v>
      </c>
      <c r="E74" s="41">
        <v>0</v>
      </c>
      <c r="F74" s="41">
        <v>11.59</v>
      </c>
      <c r="G74" s="41">
        <f t="shared" si="4"/>
        <v>11.59</v>
      </c>
      <c r="H74" s="42">
        <f t="shared" si="5"/>
        <v>463.6</v>
      </c>
    </row>
    <row r="75" spans="1:8" ht="12.75">
      <c r="A75" s="29"/>
      <c r="B75" s="49" t="s">
        <v>44</v>
      </c>
      <c r="C75" s="50"/>
      <c r="D75" s="51"/>
      <c r="E75" s="51"/>
      <c r="F75" s="51"/>
      <c r="G75" s="51"/>
      <c r="H75" s="52">
        <f>SUM(H63:H74)</f>
        <v>2177.48</v>
      </c>
    </row>
    <row r="76" spans="1:8" ht="12.75">
      <c r="A76" s="29"/>
      <c r="B76" s="53"/>
      <c r="C76" s="50"/>
      <c r="D76" s="51"/>
      <c r="E76" s="51"/>
      <c r="F76" s="51"/>
      <c r="G76" s="51"/>
      <c r="H76" s="54"/>
    </row>
    <row r="77" spans="1:8" ht="12.75">
      <c r="A77" s="31" t="s">
        <v>27</v>
      </c>
      <c r="B77" s="23" t="s">
        <v>28</v>
      </c>
      <c r="C77" s="33"/>
      <c r="D77" s="41"/>
      <c r="E77" s="41"/>
      <c r="F77" s="41"/>
      <c r="G77" s="41"/>
      <c r="H77" s="42"/>
    </row>
    <row r="78" spans="1:8" ht="13.5" customHeight="1">
      <c r="A78" s="76"/>
      <c r="B78" s="32" t="s">
        <v>132</v>
      </c>
      <c r="C78" s="44" t="s">
        <v>76</v>
      </c>
      <c r="D78" s="137">
        <v>16</v>
      </c>
      <c r="E78" s="41">
        <v>0</v>
      </c>
      <c r="F78" s="45">
        <v>11.59</v>
      </c>
      <c r="G78" s="46">
        <f>F78+E78</f>
        <v>11.59</v>
      </c>
      <c r="H78" s="47">
        <f>G78*D78</f>
        <v>185.44</v>
      </c>
    </row>
    <row r="79" spans="1:8" ht="12.75">
      <c r="A79" s="31"/>
      <c r="B79" s="24" t="s">
        <v>44</v>
      </c>
      <c r="C79" s="33"/>
      <c r="D79" s="41"/>
      <c r="E79" s="41"/>
      <c r="F79" s="41"/>
      <c r="G79" s="41"/>
      <c r="H79" s="40">
        <f>SUM(H78:H78)</f>
        <v>185.44</v>
      </c>
    </row>
    <row r="80" spans="1:8" ht="12.75">
      <c r="A80" s="31"/>
      <c r="B80" s="24"/>
      <c r="C80" s="33"/>
      <c r="D80" s="41"/>
      <c r="E80" s="41"/>
      <c r="F80" s="41"/>
      <c r="G80" s="41"/>
      <c r="H80" s="40"/>
    </row>
    <row r="81" spans="1:8" ht="12.75">
      <c r="A81" s="31" t="s">
        <v>45</v>
      </c>
      <c r="B81" s="23" t="s">
        <v>65</v>
      </c>
      <c r="C81" s="33"/>
      <c r="D81" s="41"/>
      <c r="E81" s="41"/>
      <c r="F81" s="41"/>
      <c r="G81" s="41"/>
      <c r="H81" s="42"/>
    </row>
    <row r="82" spans="1:8" ht="12.75">
      <c r="A82" s="31"/>
      <c r="B82" s="32" t="s">
        <v>135</v>
      </c>
      <c r="C82" s="33" t="s">
        <v>76</v>
      </c>
      <c r="D82" s="41">
        <v>40</v>
      </c>
      <c r="E82" s="41">
        <v>0</v>
      </c>
      <c r="F82" s="41">
        <v>11.59</v>
      </c>
      <c r="G82" s="41">
        <f>F82+E82</f>
        <v>11.59</v>
      </c>
      <c r="H82" s="42">
        <f>G82*D82</f>
        <v>463.6</v>
      </c>
    </row>
    <row r="83" spans="1:8" ht="12.75">
      <c r="A83" s="31" t="s">
        <v>330</v>
      </c>
      <c r="B83" s="32" t="s">
        <v>331</v>
      </c>
      <c r="C83" s="33" t="s">
        <v>43</v>
      </c>
      <c r="D83" s="41">
        <v>8</v>
      </c>
      <c r="E83" s="41">
        <v>26.79</v>
      </c>
      <c r="F83" s="41">
        <v>7.01</v>
      </c>
      <c r="G83" s="41">
        <f>F83+E83</f>
        <v>33.8</v>
      </c>
      <c r="H83" s="42">
        <f>G83*D83</f>
        <v>270.4</v>
      </c>
    </row>
    <row r="84" spans="1:8" ht="12.75">
      <c r="A84" s="31" t="s">
        <v>30</v>
      </c>
      <c r="B84" s="32" t="s">
        <v>29</v>
      </c>
      <c r="C84" s="33" t="s">
        <v>43</v>
      </c>
      <c r="D84" s="41">
        <v>45</v>
      </c>
      <c r="E84" s="41">
        <v>14.89</v>
      </c>
      <c r="F84" s="41">
        <v>4.41</v>
      </c>
      <c r="G84" s="41">
        <f>F84+E84</f>
        <v>19.3</v>
      </c>
      <c r="H84" s="42">
        <f>G84*D84</f>
        <v>868.5</v>
      </c>
    </row>
    <row r="85" spans="1:8" ht="12.75">
      <c r="A85" s="31" t="s">
        <v>268</v>
      </c>
      <c r="B85" s="32" t="s">
        <v>269</v>
      </c>
      <c r="C85" s="33" t="s">
        <v>43</v>
      </c>
      <c r="D85" s="41">
        <v>40</v>
      </c>
      <c r="E85" s="41">
        <v>50.07</v>
      </c>
      <c r="F85" s="41">
        <v>3.21</v>
      </c>
      <c r="G85" s="41">
        <f>F85+E85</f>
        <v>53.28</v>
      </c>
      <c r="H85" s="42">
        <f>G85*D85</f>
        <v>2131.2</v>
      </c>
    </row>
    <row r="86" spans="1:8" ht="12.75">
      <c r="A86" s="31"/>
      <c r="B86" s="24" t="s">
        <v>44</v>
      </c>
      <c r="C86" s="33"/>
      <c r="D86" s="41"/>
      <c r="E86" s="41"/>
      <c r="F86" s="41"/>
      <c r="G86" s="41"/>
      <c r="H86" s="40">
        <f>SUM(H82:H85)</f>
        <v>3733.7</v>
      </c>
    </row>
    <row r="87" spans="1:8" ht="12.75">
      <c r="A87" s="31"/>
      <c r="B87" s="32"/>
      <c r="C87" s="33"/>
      <c r="D87" s="41"/>
      <c r="E87" s="41"/>
      <c r="F87" s="41"/>
      <c r="G87" s="41"/>
      <c r="H87" s="42"/>
    </row>
    <row r="88" spans="1:8" ht="13.5" customHeight="1">
      <c r="A88" s="31" t="s">
        <v>50</v>
      </c>
      <c r="B88" s="23" t="s">
        <v>69</v>
      </c>
      <c r="C88" s="33"/>
      <c r="D88" s="41"/>
      <c r="E88" s="41"/>
      <c r="F88" s="41"/>
      <c r="G88" s="41"/>
      <c r="H88" s="42"/>
    </row>
    <row r="89" spans="1:8" ht="12.75">
      <c r="A89" s="55" t="s">
        <v>137</v>
      </c>
      <c r="B89" s="56" t="s">
        <v>136</v>
      </c>
      <c r="C89" s="33" t="s">
        <v>23</v>
      </c>
      <c r="D89" s="58">
        <v>9</v>
      </c>
      <c r="E89" s="58">
        <v>87</v>
      </c>
      <c r="F89" s="58">
        <v>9.79</v>
      </c>
      <c r="G89" s="58">
        <f>F89+E89</f>
        <v>96.78999999999999</v>
      </c>
      <c r="H89" s="59">
        <f>G89*D89</f>
        <v>871.1099999999999</v>
      </c>
    </row>
    <row r="90" spans="1:8" ht="12.75">
      <c r="A90" s="55" t="s">
        <v>139</v>
      </c>
      <c r="B90" s="56" t="s">
        <v>138</v>
      </c>
      <c r="C90" s="33" t="s">
        <v>22</v>
      </c>
      <c r="D90" s="58">
        <v>90</v>
      </c>
      <c r="E90" s="58">
        <v>3.06</v>
      </c>
      <c r="F90" s="58">
        <v>0.72</v>
      </c>
      <c r="G90" s="58">
        <f>F90+E90</f>
        <v>3.7800000000000002</v>
      </c>
      <c r="H90" s="59">
        <f>G90*D90</f>
        <v>340.20000000000005</v>
      </c>
    </row>
    <row r="91" spans="1:8" ht="12.75">
      <c r="A91" s="31"/>
      <c r="B91" s="24" t="s">
        <v>44</v>
      </c>
      <c r="C91" s="33"/>
      <c r="D91" s="41"/>
      <c r="E91" s="41"/>
      <c r="F91" s="41"/>
      <c r="G91" s="41"/>
      <c r="H91" s="40">
        <f>SUM(H89:H90)</f>
        <v>1211.31</v>
      </c>
    </row>
    <row r="92" spans="1:8" ht="12.75">
      <c r="A92" s="29"/>
      <c r="B92" s="60"/>
      <c r="C92" s="50"/>
      <c r="D92" s="51"/>
      <c r="E92" s="51"/>
      <c r="F92" s="51"/>
      <c r="G92" s="51"/>
      <c r="H92" s="54"/>
    </row>
    <row r="93" spans="1:8" ht="12.75">
      <c r="A93" s="31" t="s">
        <v>49</v>
      </c>
      <c r="B93" s="23" t="s">
        <v>68</v>
      </c>
      <c r="C93" s="33"/>
      <c r="D93" s="41"/>
      <c r="E93" s="41"/>
      <c r="F93" s="41"/>
      <c r="G93" s="41"/>
      <c r="H93" s="42"/>
    </row>
    <row r="94" spans="1:9" ht="13.5" customHeight="1">
      <c r="A94" s="31" t="s">
        <v>270</v>
      </c>
      <c r="B94" s="32" t="s">
        <v>271</v>
      </c>
      <c r="C94" s="33" t="s">
        <v>43</v>
      </c>
      <c r="D94" s="41">
        <v>7</v>
      </c>
      <c r="E94" s="41">
        <v>104.48</v>
      </c>
      <c r="F94" s="41">
        <v>24.71</v>
      </c>
      <c r="G94" s="41">
        <f>F94+E94</f>
        <v>129.19</v>
      </c>
      <c r="H94" s="42">
        <f>G94*D94</f>
        <v>904.3299999999999</v>
      </c>
      <c r="I94" s="147">
        <f>2.8*2.5</f>
        <v>7</v>
      </c>
    </row>
    <row r="95" spans="1:9" ht="13.5" customHeight="1">
      <c r="A95" s="31" t="s">
        <v>332</v>
      </c>
      <c r="B95" s="32" t="s">
        <v>333</v>
      </c>
      <c r="C95" s="33" t="s">
        <v>43</v>
      </c>
      <c r="D95" s="41">
        <v>1.68</v>
      </c>
      <c r="E95" s="41">
        <v>233.08</v>
      </c>
      <c r="F95" s="41">
        <v>201.78</v>
      </c>
      <c r="G95" s="41">
        <f>F95+E95</f>
        <v>434.86</v>
      </c>
      <c r="H95" s="42">
        <f>G95*D95</f>
        <v>730.5648</v>
      </c>
      <c r="I95" s="147">
        <f>1.5*0.7+0.9*0.7</f>
        <v>1.6799999999999997</v>
      </c>
    </row>
    <row r="96" spans="1:8" ht="13.5" customHeight="1">
      <c r="A96" s="31"/>
      <c r="B96" s="32" t="s">
        <v>140</v>
      </c>
      <c r="C96" s="33" t="s">
        <v>76</v>
      </c>
      <c r="D96" s="41">
        <v>30</v>
      </c>
      <c r="E96" s="41">
        <v>0</v>
      </c>
      <c r="F96" s="41">
        <v>11.59</v>
      </c>
      <c r="G96" s="41">
        <f>F96+E96</f>
        <v>11.59</v>
      </c>
      <c r="H96" s="42">
        <f>G96*D96</f>
        <v>347.7</v>
      </c>
    </row>
    <row r="97" spans="1:8" ht="13.5" customHeight="1">
      <c r="A97" s="31"/>
      <c r="B97" s="24" t="s">
        <v>44</v>
      </c>
      <c r="C97" s="33"/>
      <c r="D97" s="41"/>
      <c r="E97" s="41"/>
      <c r="F97" s="41"/>
      <c r="G97" s="41"/>
      <c r="H97" s="40">
        <f>SUM(H94:H96)</f>
        <v>1982.5948</v>
      </c>
    </row>
    <row r="98" spans="1:8" ht="13.5" customHeight="1">
      <c r="A98" s="31"/>
      <c r="B98" s="32"/>
      <c r="C98" s="33"/>
      <c r="D98" s="41"/>
      <c r="E98" s="41"/>
      <c r="F98" s="41"/>
      <c r="G98" s="41"/>
      <c r="H98" s="42"/>
    </row>
    <row r="99" spans="1:8" ht="12.75">
      <c r="A99" s="29" t="s">
        <v>51</v>
      </c>
      <c r="B99" s="18" t="s">
        <v>70</v>
      </c>
      <c r="C99" s="61"/>
      <c r="D99" s="62"/>
      <c r="E99" s="62"/>
      <c r="F99" s="62"/>
      <c r="G99" s="62"/>
      <c r="H99" s="63"/>
    </row>
    <row r="100" spans="1:8" ht="12.75" customHeight="1">
      <c r="A100" s="31" t="s">
        <v>52</v>
      </c>
      <c r="B100" s="32" t="s">
        <v>71</v>
      </c>
      <c r="C100" s="33" t="s">
        <v>43</v>
      </c>
      <c r="D100" s="41">
        <v>40</v>
      </c>
      <c r="E100" s="41">
        <v>1.16</v>
      </c>
      <c r="F100" s="41">
        <v>1.96</v>
      </c>
      <c r="G100" s="41">
        <f>F100+E100</f>
        <v>3.12</v>
      </c>
      <c r="H100" s="42">
        <f>G100*D100</f>
        <v>124.80000000000001</v>
      </c>
    </row>
    <row r="101" spans="1:8" ht="12.75">
      <c r="A101" s="55" t="s">
        <v>142</v>
      </c>
      <c r="B101" s="56" t="s">
        <v>141</v>
      </c>
      <c r="C101" s="57" t="s">
        <v>43</v>
      </c>
      <c r="D101" s="41">
        <v>40</v>
      </c>
      <c r="E101" s="58">
        <v>4.72</v>
      </c>
      <c r="F101" s="58">
        <v>10.83</v>
      </c>
      <c r="G101" s="41">
        <f>F101+E101</f>
        <v>15.55</v>
      </c>
      <c r="H101" s="59">
        <f>G101*D101</f>
        <v>622</v>
      </c>
    </row>
    <row r="102" spans="1:8" ht="12.75">
      <c r="A102" s="31" t="s">
        <v>144</v>
      </c>
      <c r="B102" s="32" t="s">
        <v>143</v>
      </c>
      <c r="C102" s="33" t="s">
        <v>43</v>
      </c>
      <c r="D102" s="41">
        <v>5</v>
      </c>
      <c r="E102" s="41">
        <v>18.86</v>
      </c>
      <c r="F102" s="41">
        <v>15.4</v>
      </c>
      <c r="G102" s="41">
        <f>F102+E102</f>
        <v>34.26</v>
      </c>
      <c r="H102" s="42">
        <f>G102*D102</f>
        <v>171.29999999999998</v>
      </c>
    </row>
    <row r="103" spans="1:8" ht="12.75">
      <c r="A103" s="31"/>
      <c r="B103" s="24" t="s">
        <v>44</v>
      </c>
      <c r="C103" s="33"/>
      <c r="D103" s="41"/>
      <c r="E103" s="41"/>
      <c r="F103" s="41"/>
      <c r="G103" s="41"/>
      <c r="H103" s="40">
        <f>SUM(H100:H102)</f>
        <v>918.0999999999999</v>
      </c>
    </row>
    <row r="104" spans="1:8" ht="12.75">
      <c r="A104" s="31"/>
      <c r="B104" s="32"/>
      <c r="C104" s="33"/>
      <c r="D104" s="41"/>
      <c r="E104" s="41"/>
      <c r="F104" s="41"/>
      <c r="G104" s="41"/>
      <c r="H104" s="42"/>
    </row>
    <row r="105" spans="1:8" ht="12.75">
      <c r="A105" s="29" t="s">
        <v>334</v>
      </c>
      <c r="B105" s="18" t="s">
        <v>335</v>
      </c>
      <c r="C105" s="61"/>
      <c r="D105" s="62"/>
      <c r="E105" s="62"/>
      <c r="F105" s="62"/>
      <c r="G105" s="62"/>
      <c r="H105" s="63"/>
    </row>
    <row r="106" spans="1:8" ht="12.75" customHeight="1">
      <c r="A106" s="31" t="s">
        <v>336</v>
      </c>
      <c r="B106" s="32" t="s">
        <v>337</v>
      </c>
      <c r="C106" s="33" t="s">
        <v>43</v>
      </c>
      <c r="D106" s="41">
        <v>45</v>
      </c>
      <c r="E106" s="41">
        <v>1.51</v>
      </c>
      <c r="F106" s="41">
        <v>2.69</v>
      </c>
      <c r="G106" s="41">
        <f>F106+E106</f>
        <v>4.2</v>
      </c>
      <c r="H106" s="42">
        <f>G106*D106</f>
        <v>189</v>
      </c>
    </row>
    <row r="107" spans="1:8" ht="12.75">
      <c r="A107" s="55" t="s">
        <v>338</v>
      </c>
      <c r="B107" s="56" t="s">
        <v>339</v>
      </c>
      <c r="C107" s="57" t="s">
        <v>43</v>
      </c>
      <c r="D107" s="41">
        <v>45</v>
      </c>
      <c r="E107" s="58">
        <v>5.03</v>
      </c>
      <c r="F107" s="58">
        <v>13.13</v>
      </c>
      <c r="G107" s="41">
        <f>F107+E107</f>
        <v>18.16</v>
      </c>
      <c r="H107" s="59">
        <f>G107*D107</f>
        <v>817.2</v>
      </c>
    </row>
    <row r="108" spans="1:8" ht="12.75">
      <c r="A108" s="31"/>
      <c r="B108" s="24" t="s">
        <v>44</v>
      </c>
      <c r="C108" s="33"/>
      <c r="D108" s="41"/>
      <c r="E108" s="41"/>
      <c r="F108" s="41"/>
      <c r="G108" s="41"/>
      <c r="H108" s="40">
        <f>SUM(H106:H107)</f>
        <v>1006.2</v>
      </c>
    </row>
    <row r="109" spans="1:8" ht="12.75">
      <c r="A109" s="31"/>
      <c r="B109" s="32"/>
      <c r="C109" s="33"/>
      <c r="D109" s="41"/>
      <c r="E109" s="41"/>
      <c r="F109" s="41"/>
      <c r="G109" s="41"/>
      <c r="H109" s="42"/>
    </row>
    <row r="110" spans="1:8" ht="12.75">
      <c r="A110" s="31" t="s">
        <v>53</v>
      </c>
      <c r="B110" s="23" t="s">
        <v>72</v>
      </c>
      <c r="C110" s="33"/>
      <c r="D110" s="41"/>
      <c r="E110" s="41"/>
      <c r="F110" s="41"/>
      <c r="G110" s="41"/>
      <c r="H110" s="42"/>
    </row>
    <row r="111" spans="1:8" ht="12.75">
      <c r="A111" s="31" t="s">
        <v>146</v>
      </c>
      <c r="B111" s="32" t="s">
        <v>145</v>
      </c>
      <c r="C111" s="33" t="s">
        <v>43</v>
      </c>
      <c r="D111" s="41">
        <v>13</v>
      </c>
      <c r="E111" s="41">
        <v>30.37</v>
      </c>
      <c r="F111" s="41">
        <v>15.67</v>
      </c>
      <c r="G111" s="41">
        <f>F111+E111</f>
        <v>46.04</v>
      </c>
      <c r="H111" s="42">
        <f>G111*D111</f>
        <v>598.52</v>
      </c>
    </row>
    <row r="112" spans="1:8" ht="12.75" customHeight="1">
      <c r="A112" s="31" t="s">
        <v>340</v>
      </c>
      <c r="B112" s="32" t="s">
        <v>341</v>
      </c>
      <c r="C112" s="33" t="s">
        <v>43</v>
      </c>
      <c r="D112" s="41">
        <v>10</v>
      </c>
      <c r="E112" s="41">
        <v>10.58</v>
      </c>
      <c r="F112" s="41">
        <v>7.67</v>
      </c>
      <c r="G112" s="41">
        <f>F112+E112</f>
        <v>18.25</v>
      </c>
      <c r="H112" s="42">
        <f>G112*D112</f>
        <v>182.5</v>
      </c>
    </row>
    <row r="113" spans="1:9" ht="12.75" customHeight="1">
      <c r="A113" s="31" t="s">
        <v>227</v>
      </c>
      <c r="B113" s="32" t="s">
        <v>228</v>
      </c>
      <c r="C113" s="33" t="s">
        <v>43</v>
      </c>
      <c r="D113" s="41">
        <v>50</v>
      </c>
      <c r="E113" s="41">
        <v>46.95</v>
      </c>
      <c r="F113" s="41">
        <v>10.44</v>
      </c>
      <c r="G113" s="41">
        <f>F113+E113</f>
        <v>57.39</v>
      </c>
      <c r="H113" s="42">
        <f>G113*D113</f>
        <v>2869.5</v>
      </c>
      <c r="I113" s="5">
        <f>500*0.3*0.3</f>
        <v>45</v>
      </c>
    </row>
    <row r="114" spans="1:9" ht="12.75" customHeight="1">
      <c r="A114" s="31" t="s">
        <v>232</v>
      </c>
      <c r="B114" s="32" t="s">
        <v>231</v>
      </c>
      <c r="C114" s="33" t="s">
        <v>22</v>
      </c>
      <c r="D114" s="41">
        <v>96</v>
      </c>
      <c r="E114" s="41">
        <v>5.95</v>
      </c>
      <c r="F114" s="41">
        <v>0.42</v>
      </c>
      <c r="G114" s="41">
        <f>F114+E114</f>
        <v>6.37</v>
      </c>
      <c r="H114" s="42">
        <f>G114*D114</f>
        <v>611.52</v>
      </c>
      <c r="I114" s="5">
        <f>110.55-8-3-3</f>
        <v>96.55</v>
      </c>
    </row>
    <row r="115" spans="1:8" ht="12.75">
      <c r="A115" s="31"/>
      <c r="B115" s="24" t="s">
        <v>44</v>
      </c>
      <c r="C115" s="33"/>
      <c r="D115" s="41"/>
      <c r="E115" s="41"/>
      <c r="F115" s="41"/>
      <c r="G115" s="41"/>
      <c r="H115" s="40">
        <f>SUM(H111:H114)</f>
        <v>4262.04</v>
      </c>
    </row>
    <row r="116" spans="1:8" ht="12.75">
      <c r="A116" s="31"/>
      <c r="B116" s="32"/>
      <c r="C116" s="33"/>
      <c r="D116" s="41"/>
      <c r="E116" s="41"/>
      <c r="F116" s="41"/>
      <c r="G116" s="41"/>
      <c r="H116" s="42"/>
    </row>
    <row r="117" spans="1:8" ht="12.75">
      <c r="A117" s="31" t="s">
        <v>54</v>
      </c>
      <c r="B117" s="23" t="s">
        <v>75</v>
      </c>
      <c r="C117" s="33"/>
      <c r="D117" s="41"/>
      <c r="E117" s="41"/>
      <c r="F117" s="41"/>
      <c r="G117" s="41"/>
      <c r="H117" s="42"/>
    </row>
    <row r="118" spans="1:8" ht="12.75" customHeight="1">
      <c r="A118" s="31" t="s">
        <v>342</v>
      </c>
      <c r="B118" s="82" t="s">
        <v>343</v>
      </c>
      <c r="C118" s="33" t="s">
        <v>43</v>
      </c>
      <c r="D118" s="83">
        <v>1</v>
      </c>
      <c r="E118" s="83">
        <v>31.35</v>
      </c>
      <c r="F118" s="83">
        <v>0</v>
      </c>
      <c r="G118" s="41">
        <f>F118+E118</f>
        <v>31.35</v>
      </c>
      <c r="H118" s="42">
        <f>G118*D118</f>
        <v>31.35</v>
      </c>
    </row>
    <row r="119" spans="1:8" ht="12.75">
      <c r="A119" s="31"/>
      <c r="B119" s="24" t="s">
        <v>44</v>
      </c>
      <c r="C119" s="33"/>
      <c r="D119" s="41"/>
      <c r="E119" s="83"/>
      <c r="F119" s="83"/>
      <c r="G119" s="41"/>
      <c r="H119" s="40">
        <f>SUM(H118)</f>
        <v>31.35</v>
      </c>
    </row>
    <row r="120" spans="1:8" ht="12.75">
      <c r="A120" s="31"/>
      <c r="B120" s="32"/>
      <c r="C120" s="33"/>
      <c r="D120" s="41"/>
      <c r="E120" s="83"/>
      <c r="F120" s="83"/>
      <c r="G120" s="41"/>
      <c r="H120" s="42"/>
    </row>
    <row r="121" spans="1:8" ht="12.75">
      <c r="A121" s="31" t="s">
        <v>55</v>
      </c>
      <c r="B121" s="23" t="s">
        <v>73</v>
      </c>
      <c r="C121" s="33"/>
      <c r="D121" s="41"/>
      <c r="E121" s="83"/>
      <c r="F121" s="83"/>
      <c r="G121" s="41"/>
      <c r="H121" s="42"/>
    </row>
    <row r="122" spans="1:8" ht="12.75">
      <c r="A122" s="31" t="s">
        <v>147</v>
      </c>
      <c r="B122" s="32" t="s">
        <v>56</v>
      </c>
      <c r="C122" s="33" t="s">
        <v>23</v>
      </c>
      <c r="D122" s="41">
        <v>9</v>
      </c>
      <c r="E122" s="83">
        <v>60</v>
      </c>
      <c r="F122" s="83">
        <v>11.59</v>
      </c>
      <c r="G122" s="41">
        <f>F122+E122</f>
        <v>71.59</v>
      </c>
      <c r="H122" s="42">
        <f>G122*D122</f>
        <v>644.3100000000001</v>
      </c>
    </row>
    <row r="123" spans="1:8" ht="12.75">
      <c r="A123" s="31" t="s">
        <v>259</v>
      </c>
      <c r="B123" s="32" t="s">
        <v>258</v>
      </c>
      <c r="C123" s="33" t="s">
        <v>23</v>
      </c>
      <c r="D123" s="41">
        <v>27</v>
      </c>
      <c r="E123" s="83">
        <v>1.04</v>
      </c>
      <c r="F123" s="83">
        <v>5.01</v>
      </c>
      <c r="G123" s="41">
        <f>F123+E123</f>
        <v>6.05</v>
      </c>
      <c r="H123" s="42">
        <f>G123*D123</f>
        <v>163.35</v>
      </c>
    </row>
    <row r="124" spans="1:8" ht="12.75">
      <c r="A124" s="31" t="s">
        <v>344</v>
      </c>
      <c r="B124" s="32" t="s">
        <v>345</v>
      </c>
      <c r="C124" s="33" t="s">
        <v>23</v>
      </c>
      <c r="D124" s="41">
        <v>5</v>
      </c>
      <c r="E124" s="83">
        <v>22.15</v>
      </c>
      <c r="F124" s="83">
        <v>11.59</v>
      </c>
      <c r="G124" s="41">
        <f>F124+E124</f>
        <v>33.739999999999995</v>
      </c>
      <c r="H124" s="42">
        <f>G124*D124</f>
        <v>168.7</v>
      </c>
    </row>
    <row r="125" spans="1:8" ht="12.75">
      <c r="A125" s="31"/>
      <c r="B125" s="24" t="s">
        <v>44</v>
      </c>
      <c r="C125" s="33"/>
      <c r="D125" s="41"/>
      <c r="E125" s="41"/>
      <c r="F125" s="41"/>
      <c r="G125" s="41"/>
      <c r="H125" s="40">
        <f>SUM(H122:H124)</f>
        <v>976.3600000000001</v>
      </c>
    </row>
    <row r="126" spans="1:8" ht="12.75">
      <c r="A126" s="31"/>
      <c r="B126" s="32"/>
      <c r="C126" s="33"/>
      <c r="D126" s="41"/>
      <c r="E126" s="48"/>
      <c r="F126" s="41"/>
      <c r="G126" s="41"/>
      <c r="H126" s="42"/>
    </row>
    <row r="127" spans="1:8" ht="12.75">
      <c r="A127" s="31" t="s">
        <v>233</v>
      </c>
      <c r="B127" s="23" t="s">
        <v>234</v>
      </c>
      <c r="C127" s="33"/>
      <c r="D127" s="41"/>
      <c r="E127" s="83"/>
      <c r="F127" s="83"/>
      <c r="G127" s="41"/>
      <c r="H127" s="42"/>
    </row>
    <row r="128" spans="1:9" ht="12.75">
      <c r="A128" s="31" t="s">
        <v>239</v>
      </c>
      <c r="B128" s="32" t="s">
        <v>240</v>
      </c>
      <c r="C128" s="33" t="s">
        <v>76</v>
      </c>
      <c r="D128" s="41">
        <v>66</v>
      </c>
      <c r="E128" s="83">
        <v>0</v>
      </c>
      <c r="F128" s="83">
        <v>74.5</v>
      </c>
      <c r="G128" s="41">
        <f>F128+E128</f>
        <v>74.5</v>
      </c>
      <c r="H128" s="42">
        <f>G128*D128</f>
        <v>4917</v>
      </c>
      <c r="I128" s="5">
        <f>330/5</f>
        <v>66</v>
      </c>
    </row>
    <row r="129" spans="1:8" ht="12.75">
      <c r="A129" s="31" t="s">
        <v>236</v>
      </c>
      <c r="B129" s="32" t="s">
        <v>235</v>
      </c>
      <c r="C129" s="33" t="s">
        <v>76</v>
      </c>
      <c r="D129" s="41">
        <v>330</v>
      </c>
      <c r="E129" s="83">
        <v>0</v>
      </c>
      <c r="F129" s="83">
        <v>21.94</v>
      </c>
      <c r="G129" s="41">
        <f>F129+E129</f>
        <v>21.94</v>
      </c>
      <c r="H129" s="42">
        <f>G129*D129</f>
        <v>7240.200000000001</v>
      </c>
    </row>
    <row r="130" spans="1:8" ht="12.75">
      <c r="A130" s="31" t="s">
        <v>238</v>
      </c>
      <c r="B130" s="32" t="s">
        <v>237</v>
      </c>
      <c r="C130" s="33" t="s">
        <v>76</v>
      </c>
      <c r="D130" s="41">
        <v>660</v>
      </c>
      <c r="E130" s="83">
        <v>0</v>
      </c>
      <c r="F130" s="83">
        <v>7.57</v>
      </c>
      <c r="G130" s="41">
        <f>F130+E130</f>
        <v>7.57</v>
      </c>
      <c r="H130" s="42">
        <f>G130*D130</f>
        <v>4996.2</v>
      </c>
    </row>
    <row r="131" spans="1:8" ht="12.75">
      <c r="A131" s="31"/>
      <c r="B131" s="24" t="s">
        <v>44</v>
      </c>
      <c r="C131" s="33"/>
      <c r="D131" s="41"/>
      <c r="E131" s="41"/>
      <c r="F131" s="41"/>
      <c r="G131" s="41"/>
      <c r="H131" s="40">
        <f>SUM(H128:H130)</f>
        <v>17153.4</v>
      </c>
    </row>
    <row r="132" spans="1:8" ht="12.75">
      <c r="A132" s="31"/>
      <c r="B132" s="32"/>
      <c r="C132" s="33"/>
      <c r="D132" s="41"/>
      <c r="E132" s="48"/>
      <c r="F132" s="41"/>
      <c r="G132" s="41"/>
      <c r="H132" s="42"/>
    </row>
    <row r="133" spans="1:8" ht="12.75">
      <c r="A133" s="31" t="s">
        <v>57</v>
      </c>
      <c r="B133" s="23" t="s">
        <v>31</v>
      </c>
      <c r="C133" s="33"/>
      <c r="D133" s="41"/>
      <c r="E133" s="41"/>
      <c r="F133" s="41"/>
      <c r="G133" s="41"/>
      <c r="H133" s="42"/>
    </row>
    <row r="134" spans="1:8" ht="12.75" customHeight="1">
      <c r="A134" s="31" t="s">
        <v>25</v>
      </c>
      <c r="B134" s="32" t="s">
        <v>209</v>
      </c>
      <c r="C134" s="33" t="s">
        <v>43</v>
      </c>
      <c r="D134" s="41">
        <v>40</v>
      </c>
      <c r="E134" s="41">
        <v>2.26</v>
      </c>
      <c r="F134" s="41">
        <v>6.17</v>
      </c>
      <c r="G134" s="41">
        <f aca="true" t="shared" si="6" ref="G134:G144">F134+E134</f>
        <v>8.43</v>
      </c>
      <c r="H134" s="42">
        <f aca="true" t="shared" si="7" ref="H134:H144">G134*D134</f>
        <v>337.2</v>
      </c>
    </row>
    <row r="135" spans="1:9" ht="12.75" customHeight="1">
      <c r="A135" s="31" t="s">
        <v>211</v>
      </c>
      <c r="B135" s="32" t="s">
        <v>210</v>
      </c>
      <c r="C135" s="33" t="s">
        <v>43</v>
      </c>
      <c r="D135" s="41">
        <v>338.08</v>
      </c>
      <c r="E135" s="41">
        <v>1.62</v>
      </c>
      <c r="F135" s="41">
        <v>3.01</v>
      </c>
      <c r="G135" s="41">
        <f t="shared" si="6"/>
        <v>4.63</v>
      </c>
      <c r="H135" s="42">
        <f t="shared" si="7"/>
        <v>1565.3103999999998</v>
      </c>
      <c r="I135" s="5">
        <f>105.9+232.18</f>
        <v>338.08000000000004</v>
      </c>
    </row>
    <row r="136" spans="1:8" ht="12.75">
      <c r="A136" s="31" t="s">
        <v>217</v>
      </c>
      <c r="B136" s="32" t="s">
        <v>216</v>
      </c>
      <c r="C136" s="33" t="s">
        <v>43</v>
      </c>
      <c r="D136" s="41">
        <v>567.72</v>
      </c>
      <c r="E136" s="41">
        <v>2.43</v>
      </c>
      <c r="F136" s="41">
        <v>4.17</v>
      </c>
      <c r="G136" s="41">
        <f t="shared" si="6"/>
        <v>6.6</v>
      </c>
      <c r="H136" s="42">
        <f t="shared" si="7"/>
        <v>3746.9519999999998</v>
      </c>
    </row>
    <row r="137" spans="1:8" ht="12.75">
      <c r="A137" s="31" t="s">
        <v>272</v>
      </c>
      <c r="B137" s="32" t="s">
        <v>273</v>
      </c>
      <c r="C137" s="33" t="s">
        <v>43</v>
      </c>
      <c r="D137" s="41">
        <v>1059.1</v>
      </c>
      <c r="E137" s="41">
        <v>1.06</v>
      </c>
      <c r="F137" s="41">
        <v>2.79</v>
      </c>
      <c r="G137" s="41">
        <f>F137+E137</f>
        <v>3.85</v>
      </c>
      <c r="H137" s="42">
        <f>G137*D137</f>
        <v>4077.535</v>
      </c>
    </row>
    <row r="138" spans="1:8" ht="12.75">
      <c r="A138" s="31" t="s">
        <v>230</v>
      </c>
      <c r="B138" s="32" t="s">
        <v>229</v>
      </c>
      <c r="C138" s="33" t="s">
        <v>43</v>
      </c>
      <c r="D138" s="41">
        <v>1463.33</v>
      </c>
      <c r="E138" s="41">
        <v>2.25</v>
      </c>
      <c r="F138" s="41">
        <v>1.25</v>
      </c>
      <c r="G138" s="41">
        <f>F138+E138</f>
        <v>3.5</v>
      </c>
      <c r="H138" s="42">
        <f>G138*D138</f>
        <v>5121.655</v>
      </c>
    </row>
    <row r="139" spans="1:8" ht="12.75">
      <c r="A139" s="31" t="s">
        <v>213</v>
      </c>
      <c r="B139" s="32" t="s">
        <v>212</v>
      </c>
      <c r="C139" s="33" t="s">
        <v>43</v>
      </c>
      <c r="D139" s="41">
        <v>340.01</v>
      </c>
      <c r="E139" s="41">
        <v>1.62</v>
      </c>
      <c r="F139" s="41">
        <v>2.78</v>
      </c>
      <c r="G139" s="41">
        <f t="shared" si="6"/>
        <v>4.4</v>
      </c>
      <c r="H139" s="42">
        <f t="shared" si="7"/>
        <v>1496.044</v>
      </c>
    </row>
    <row r="140" spans="1:8" ht="12.75">
      <c r="A140" s="31" t="s">
        <v>58</v>
      </c>
      <c r="B140" s="32" t="s">
        <v>218</v>
      </c>
      <c r="C140" s="33" t="s">
        <v>43</v>
      </c>
      <c r="D140" s="41">
        <v>132.35</v>
      </c>
      <c r="E140" s="41">
        <v>2.35</v>
      </c>
      <c r="F140" s="41">
        <v>6.78</v>
      </c>
      <c r="G140" s="41">
        <f t="shared" si="6"/>
        <v>9.13</v>
      </c>
      <c r="H140" s="42">
        <f t="shared" si="7"/>
        <v>1208.3555000000001</v>
      </c>
    </row>
    <row r="141" spans="1:8" ht="12.75" customHeight="1">
      <c r="A141" s="31" t="s">
        <v>215</v>
      </c>
      <c r="B141" s="32" t="s">
        <v>214</v>
      </c>
      <c r="C141" s="33" t="s">
        <v>43</v>
      </c>
      <c r="D141" s="41">
        <v>426.24</v>
      </c>
      <c r="E141" s="41">
        <v>1.56</v>
      </c>
      <c r="F141" s="41">
        <v>4.7</v>
      </c>
      <c r="G141" s="41">
        <f t="shared" si="6"/>
        <v>6.26</v>
      </c>
      <c r="H141" s="42">
        <f t="shared" si="7"/>
        <v>2668.2624</v>
      </c>
    </row>
    <row r="142" spans="1:9" ht="12.75" customHeight="1">
      <c r="A142" s="31" t="s">
        <v>222</v>
      </c>
      <c r="B142" s="32" t="s">
        <v>221</v>
      </c>
      <c r="C142" s="33" t="s">
        <v>43</v>
      </c>
      <c r="D142" s="41">
        <v>48.69</v>
      </c>
      <c r="E142" s="41">
        <v>2.48</v>
      </c>
      <c r="F142" s="41">
        <v>6.17</v>
      </c>
      <c r="G142" s="41">
        <f>F142+E142</f>
        <v>8.65</v>
      </c>
      <c r="H142" s="42">
        <f>G142*D142</f>
        <v>421.1685</v>
      </c>
      <c r="I142" s="5">
        <f>9*0.7*2.1*3+90*0.1</f>
        <v>48.69</v>
      </c>
    </row>
    <row r="143" spans="1:8" ht="12.75" customHeight="1">
      <c r="A143" s="31" t="s">
        <v>220</v>
      </c>
      <c r="B143" s="32" t="s">
        <v>219</v>
      </c>
      <c r="C143" s="33" t="s">
        <v>43</v>
      </c>
      <c r="D143" s="41">
        <v>62.46</v>
      </c>
      <c r="E143" s="41">
        <v>4.07</v>
      </c>
      <c r="F143" s="41">
        <v>7.9</v>
      </c>
      <c r="G143" s="41">
        <f>F143+E143</f>
        <v>11.97</v>
      </c>
      <c r="H143" s="42">
        <f>G143*D143</f>
        <v>747.6462</v>
      </c>
    </row>
    <row r="144" spans="1:9" ht="12.75" customHeight="1">
      <c r="A144" s="31" t="s">
        <v>225</v>
      </c>
      <c r="B144" s="32" t="s">
        <v>226</v>
      </c>
      <c r="C144" s="33" t="s">
        <v>43</v>
      </c>
      <c r="D144" s="41">
        <v>15.6</v>
      </c>
      <c r="E144" s="41">
        <v>0.99</v>
      </c>
      <c r="F144" s="41">
        <v>69.22</v>
      </c>
      <c r="G144" s="41">
        <f t="shared" si="6"/>
        <v>70.21</v>
      </c>
      <c r="H144" s="42">
        <f t="shared" si="7"/>
        <v>1095.2759999999998</v>
      </c>
      <c r="I144" s="5">
        <f>(2.8*4+3+0.7+0.7)*1</f>
        <v>15.599999999999998</v>
      </c>
    </row>
    <row r="145" spans="1:8" ht="12.75" customHeight="1">
      <c r="A145" s="31"/>
      <c r="B145" s="24" t="s">
        <v>44</v>
      </c>
      <c r="C145" s="33"/>
      <c r="D145" s="41"/>
      <c r="E145" s="41"/>
      <c r="F145" s="41"/>
      <c r="G145" s="41"/>
      <c r="H145" s="40">
        <f>SUM(H134:H144)</f>
        <v>22485.405</v>
      </c>
    </row>
    <row r="146" spans="1:8" ht="12.75" customHeight="1">
      <c r="A146" s="31"/>
      <c r="B146" s="32"/>
      <c r="C146" s="33"/>
      <c r="D146" s="41"/>
      <c r="E146" s="41"/>
      <c r="F146" s="41"/>
      <c r="G146" s="41"/>
      <c r="H146" s="42"/>
    </row>
    <row r="147" spans="1:8" ht="12.75">
      <c r="A147" s="31" t="s">
        <v>59</v>
      </c>
      <c r="B147" s="23" t="s">
        <v>77</v>
      </c>
      <c r="C147" s="33"/>
      <c r="D147" s="41"/>
      <c r="E147" s="41"/>
      <c r="F147" s="41"/>
      <c r="G147" s="41"/>
      <c r="H147" s="42"/>
    </row>
    <row r="148" spans="1:8" ht="12.75">
      <c r="A148" s="31" t="s">
        <v>224</v>
      </c>
      <c r="B148" s="32" t="s">
        <v>223</v>
      </c>
      <c r="C148" s="33" t="s">
        <v>43</v>
      </c>
      <c r="D148" s="41">
        <v>0.2</v>
      </c>
      <c r="E148" s="41">
        <v>107.29</v>
      </c>
      <c r="F148" s="41">
        <v>28.66</v>
      </c>
      <c r="G148" s="41">
        <f aca="true" t="shared" si="8" ref="G148:G155">F148+E148</f>
        <v>135.95000000000002</v>
      </c>
      <c r="H148" s="42">
        <f aca="true" t="shared" si="9" ref="H148:H155">G148*D148</f>
        <v>27.190000000000005</v>
      </c>
    </row>
    <row r="149" spans="1:8" ht="12.75">
      <c r="A149" s="31" t="s">
        <v>247</v>
      </c>
      <c r="B149" s="32" t="s">
        <v>246</v>
      </c>
      <c r="C149" s="33" t="s">
        <v>43</v>
      </c>
      <c r="D149" s="41">
        <v>212</v>
      </c>
      <c r="E149" s="41">
        <v>16.38</v>
      </c>
      <c r="F149" s="41">
        <v>1.69</v>
      </c>
      <c r="G149" s="41">
        <f t="shared" si="8"/>
        <v>18.07</v>
      </c>
      <c r="H149" s="42">
        <f t="shared" si="9"/>
        <v>3830.84</v>
      </c>
    </row>
    <row r="150" spans="1:8" ht="12.75">
      <c r="A150" s="31" t="s">
        <v>253</v>
      </c>
      <c r="B150" s="32" t="s">
        <v>252</v>
      </c>
      <c r="C150" s="33" t="s">
        <v>254</v>
      </c>
      <c r="D150" s="41">
        <v>1</v>
      </c>
      <c r="E150" s="41">
        <v>698.84</v>
      </c>
      <c r="F150" s="41">
        <v>125.87</v>
      </c>
      <c r="G150" s="41">
        <f t="shared" si="8"/>
        <v>824.71</v>
      </c>
      <c r="H150" s="42">
        <f t="shared" si="9"/>
        <v>824.71</v>
      </c>
    </row>
    <row r="151" spans="1:8" ht="12.75">
      <c r="A151" s="31" t="s">
        <v>251</v>
      </c>
      <c r="B151" s="32" t="s">
        <v>250</v>
      </c>
      <c r="C151" s="33" t="s">
        <v>23</v>
      </c>
      <c r="D151" s="41">
        <v>1</v>
      </c>
      <c r="E151" s="41">
        <v>365.52</v>
      </c>
      <c r="F151" s="41">
        <v>2.9</v>
      </c>
      <c r="G151" s="41">
        <f t="shared" si="8"/>
        <v>368.41999999999996</v>
      </c>
      <c r="H151" s="42">
        <f t="shared" si="9"/>
        <v>368.41999999999996</v>
      </c>
    </row>
    <row r="152" spans="1:9" ht="12.75">
      <c r="A152" s="31"/>
      <c r="B152" s="32" t="s">
        <v>244</v>
      </c>
      <c r="C152" s="33" t="s">
        <v>245</v>
      </c>
      <c r="D152" s="41">
        <v>3</v>
      </c>
      <c r="E152" s="41">
        <v>1836</v>
      </c>
      <c r="F152" s="41">
        <v>0</v>
      </c>
      <c r="G152" s="41">
        <f t="shared" si="8"/>
        <v>1836</v>
      </c>
      <c r="H152" s="42">
        <f t="shared" si="9"/>
        <v>5508</v>
      </c>
      <c r="I152" s="5">
        <f>2*459*2</f>
        <v>1836</v>
      </c>
    </row>
    <row r="153" spans="1:9" ht="12.75">
      <c r="A153" s="31" t="s">
        <v>248</v>
      </c>
      <c r="B153" s="32" t="s">
        <v>249</v>
      </c>
      <c r="C153" s="33" t="s">
        <v>243</v>
      </c>
      <c r="D153" s="41">
        <v>390</v>
      </c>
      <c r="E153" s="41">
        <v>5.5</v>
      </c>
      <c r="F153" s="41">
        <v>0</v>
      </c>
      <c r="G153" s="41">
        <f t="shared" si="8"/>
        <v>5.5</v>
      </c>
      <c r="H153" s="42">
        <f t="shared" si="9"/>
        <v>2145</v>
      </c>
      <c r="I153" s="5">
        <f>10*26*1.5</f>
        <v>390</v>
      </c>
    </row>
    <row r="154" spans="1:9" ht="12.75">
      <c r="A154" s="31" t="s">
        <v>241</v>
      </c>
      <c r="B154" s="32" t="s">
        <v>242</v>
      </c>
      <c r="C154" s="33" t="s">
        <v>243</v>
      </c>
      <c r="D154" s="41">
        <v>390</v>
      </c>
      <c r="E154" s="41">
        <v>5.5</v>
      </c>
      <c r="F154" s="41">
        <v>0</v>
      </c>
      <c r="G154" s="41">
        <f t="shared" si="8"/>
        <v>5.5</v>
      </c>
      <c r="H154" s="42">
        <f t="shared" si="9"/>
        <v>2145</v>
      </c>
      <c r="I154" s="5">
        <f>10*26*1.5</f>
        <v>390</v>
      </c>
    </row>
    <row r="155" spans="1:8" ht="12.75">
      <c r="A155" s="31" t="s">
        <v>60</v>
      </c>
      <c r="B155" s="32" t="s">
        <v>74</v>
      </c>
      <c r="C155" s="33" t="s">
        <v>43</v>
      </c>
      <c r="D155" s="41">
        <v>1111</v>
      </c>
      <c r="E155" s="41">
        <v>0.02</v>
      </c>
      <c r="F155" s="41">
        <v>0.84</v>
      </c>
      <c r="G155" s="41">
        <f t="shared" si="8"/>
        <v>0.86</v>
      </c>
      <c r="H155" s="42">
        <f t="shared" si="9"/>
        <v>955.46</v>
      </c>
    </row>
    <row r="156" spans="1:8" ht="12.75">
      <c r="A156" s="31"/>
      <c r="B156" s="24" t="s">
        <v>44</v>
      </c>
      <c r="C156" s="33"/>
      <c r="D156" s="41"/>
      <c r="E156" s="41"/>
      <c r="F156" s="41"/>
      <c r="G156" s="41"/>
      <c r="H156" s="40">
        <f>SUM(H148:H155)</f>
        <v>15804.619999999999</v>
      </c>
    </row>
    <row r="157" spans="1:8" ht="12.75">
      <c r="A157" s="31"/>
      <c r="B157" s="43"/>
      <c r="C157" s="33"/>
      <c r="D157" s="41"/>
      <c r="E157" s="41"/>
      <c r="F157" s="41"/>
      <c r="G157" s="41"/>
      <c r="H157" s="42"/>
    </row>
    <row r="158" spans="1:8" ht="12.75">
      <c r="A158" s="31"/>
      <c r="B158" s="32"/>
      <c r="C158" s="33"/>
      <c r="D158" s="41"/>
      <c r="E158" s="41"/>
      <c r="F158" s="41"/>
      <c r="G158" s="41"/>
      <c r="H158" s="42"/>
    </row>
    <row r="159" spans="1:9" ht="12.75">
      <c r="A159" s="31"/>
      <c r="B159" s="64" t="s">
        <v>61</v>
      </c>
      <c r="C159" s="33"/>
      <c r="D159" s="41"/>
      <c r="E159" s="41"/>
      <c r="F159" s="41"/>
      <c r="G159" s="41"/>
      <c r="H159" s="40">
        <f>SUM(H156+H145+H131+H125+H119+H115+H108+H103+H97+H91+H86+H79+H75+H60+H27+H23)</f>
        <v>83698.03419999998</v>
      </c>
      <c r="I159" s="187">
        <f>SUM(H14:H156)/2</f>
        <v>83698.0342</v>
      </c>
    </row>
    <row r="160" spans="1:8" ht="12.75">
      <c r="A160" s="31"/>
      <c r="B160" s="64" t="s">
        <v>255</v>
      </c>
      <c r="C160" s="138">
        <v>0.2409</v>
      </c>
      <c r="D160" s="41"/>
      <c r="E160" s="41"/>
      <c r="F160" s="41"/>
      <c r="G160" s="41"/>
      <c r="H160" s="40">
        <f>H159*C160</f>
        <v>20162.856438779996</v>
      </c>
    </row>
    <row r="161" spans="1:8" ht="12.75">
      <c r="A161" s="31"/>
      <c r="B161" s="64" t="s">
        <v>62</v>
      </c>
      <c r="C161" s="33"/>
      <c r="D161" s="41"/>
      <c r="E161" s="41"/>
      <c r="F161" s="41"/>
      <c r="G161" s="41"/>
      <c r="H161" s="40">
        <f>H160+H159</f>
        <v>103860.89063877998</v>
      </c>
    </row>
    <row r="162" spans="1:8" ht="12.75">
      <c r="A162" s="79"/>
      <c r="B162" s="65"/>
      <c r="C162" s="66"/>
      <c r="D162" s="67"/>
      <c r="E162" s="67"/>
      <c r="F162" s="67"/>
      <c r="G162" s="68"/>
      <c r="H162" s="69"/>
    </row>
    <row r="163" spans="1:8" ht="12.75">
      <c r="A163" s="79"/>
      <c r="B163" s="65"/>
      <c r="C163" s="66"/>
      <c r="D163" s="67"/>
      <c r="E163" s="67"/>
      <c r="F163" s="67"/>
      <c r="G163" s="68"/>
      <c r="H163" s="69"/>
    </row>
    <row r="164" spans="1:8" ht="12.75">
      <c r="A164" s="79"/>
      <c r="B164" s="65"/>
      <c r="C164" s="66"/>
      <c r="D164" s="67"/>
      <c r="E164" s="67"/>
      <c r="F164" s="67"/>
      <c r="G164" s="68"/>
      <c r="H164" s="69"/>
    </row>
    <row r="165" spans="1:8" ht="12.75">
      <c r="A165" s="79"/>
      <c r="B165" s="65"/>
      <c r="C165" s="66"/>
      <c r="D165" s="67"/>
      <c r="E165" s="67"/>
      <c r="F165" s="67"/>
      <c r="G165" s="68"/>
      <c r="H165" s="69"/>
    </row>
    <row r="166" spans="1:8" ht="12.75">
      <c r="A166" s="79"/>
      <c r="B166" s="65"/>
      <c r="C166" s="66"/>
      <c r="D166" s="67"/>
      <c r="E166" s="67"/>
      <c r="F166" s="67"/>
      <c r="G166" s="68"/>
      <c r="H166" s="69"/>
    </row>
    <row r="167" spans="1:8" ht="12.75">
      <c r="A167" s="79"/>
      <c r="B167" s="65"/>
      <c r="C167" s="66"/>
      <c r="D167" s="67"/>
      <c r="E167" s="67"/>
      <c r="F167" s="67"/>
      <c r="G167" s="68"/>
      <c r="H167" s="69"/>
    </row>
    <row r="168" spans="1:8" ht="12.75">
      <c r="A168" s="79"/>
      <c r="B168" s="65"/>
      <c r="C168" s="66"/>
      <c r="D168" s="67"/>
      <c r="E168" s="67"/>
      <c r="F168" s="67"/>
      <c r="G168" s="68"/>
      <c r="H168" s="69"/>
    </row>
    <row r="169" spans="1:8" ht="12.75">
      <c r="A169" s="80"/>
      <c r="B169" s="38"/>
      <c r="C169" s="38"/>
      <c r="D169" s="39"/>
      <c r="E169" s="39"/>
      <c r="F169" s="39"/>
      <c r="G169" s="23"/>
      <c r="H169" s="70"/>
    </row>
    <row r="170" spans="1:8" ht="12.75">
      <c r="A170" s="80"/>
      <c r="B170" s="38"/>
      <c r="C170" s="38"/>
      <c r="D170" s="39"/>
      <c r="E170" s="39"/>
      <c r="F170" s="39"/>
      <c r="G170" s="23"/>
      <c r="H170" s="70"/>
    </row>
    <row r="171" spans="1:8" ht="12.75">
      <c r="A171" s="80"/>
      <c r="B171" s="38"/>
      <c r="C171" s="38"/>
      <c r="D171" s="39"/>
      <c r="E171" s="39"/>
      <c r="F171" s="39"/>
      <c r="G171" s="23"/>
      <c r="H171" s="70"/>
    </row>
    <row r="172" spans="1:8" ht="12.75">
      <c r="A172" s="80"/>
      <c r="B172" s="38"/>
      <c r="C172" s="38"/>
      <c r="D172" s="39"/>
      <c r="E172" s="39"/>
      <c r="F172" s="39"/>
      <c r="G172" s="23"/>
      <c r="H172" s="70"/>
    </row>
    <row r="173" spans="1:8" ht="13.5" thickBot="1">
      <c r="A173" s="81"/>
      <c r="B173" s="71"/>
      <c r="C173" s="72"/>
      <c r="D173" s="73"/>
      <c r="E173" s="73"/>
      <c r="F173" s="73"/>
      <c r="G173" s="74"/>
      <c r="H173" s="75"/>
    </row>
  </sheetData>
  <mergeCells count="4">
    <mergeCell ref="A11:H11"/>
    <mergeCell ref="B7:H7"/>
    <mergeCell ref="B8:H8"/>
    <mergeCell ref="B9:H9"/>
  </mergeCells>
  <printOptions/>
  <pageMargins left="0.984251968503937" right="0.3937007874015748" top="0.5118110236220472" bottom="0.3937007874015748" header="0.5118110236220472" footer="0.2755905511811024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J75"/>
  <sheetViews>
    <sheetView showGridLines="0" view="pageBreakPreview" zoomScaleNormal="70" zoomScaleSheetLayoutView="100" workbookViewId="0" topLeftCell="A1">
      <selection activeCell="C28" sqref="C28"/>
    </sheetView>
  </sheetViews>
  <sheetFormatPr defaultColWidth="9.140625" defaultRowHeight="12.75"/>
  <cols>
    <col min="1" max="1" width="6.7109375" style="149" customWidth="1"/>
    <col min="2" max="2" width="30.7109375" style="149" customWidth="1"/>
    <col min="3" max="3" width="12.7109375" style="149" customWidth="1"/>
    <col min="4" max="4" width="8.140625" style="149" customWidth="1"/>
    <col min="5" max="5" width="12.7109375" style="149" customWidth="1"/>
    <col min="6" max="6" width="8.140625" style="149" customWidth="1"/>
    <col min="7" max="7" width="12.7109375" style="149" customWidth="1"/>
    <col min="8" max="8" width="8.140625" style="149" customWidth="1"/>
    <col min="9" max="16384" width="11.421875" style="149" customWidth="1"/>
  </cols>
  <sheetData>
    <row r="1" spans="1:8" ht="11.25">
      <c r="A1" s="148"/>
      <c r="B1" s="148"/>
      <c r="C1" s="148"/>
      <c r="D1" s="148"/>
      <c r="F1" s="148"/>
      <c r="H1" s="148"/>
    </row>
    <row r="2" spans="1:8" ht="11.25">
      <c r="A2" s="148"/>
      <c r="B2" s="148"/>
      <c r="C2" s="148"/>
      <c r="D2" s="148"/>
      <c r="F2" s="148"/>
      <c r="H2" s="148"/>
    </row>
    <row r="3" spans="1:8" ht="11.25">
      <c r="A3" s="148"/>
      <c r="B3" s="148"/>
      <c r="C3" s="148"/>
      <c r="D3" s="148"/>
      <c r="F3" s="148"/>
      <c r="H3" s="148"/>
    </row>
    <row r="4" spans="1:8" ht="11.25">
      <c r="A4" s="148"/>
      <c r="B4" s="148"/>
      <c r="C4" s="148"/>
      <c r="D4" s="148"/>
      <c r="F4" s="148"/>
      <c r="H4" s="148"/>
    </row>
    <row r="5" spans="1:8" ht="11.25">
      <c r="A5" s="148"/>
      <c r="B5" s="148"/>
      <c r="C5" s="148"/>
      <c r="D5" s="148"/>
      <c r="F5" s="148"/>
      <c r="H5" s="148"/>
    </row>
    <row r="6" spans="1:8" ht="11.25">
      <c r="A6" s="148"/>
      <c r="B6" s="148"/>
      <c r="C6" s="148"/>
      <c r="D6" s="148"/>
      <c r="F6" s="148"/>
      <c r="H6" s="148"/>
    </row>
    <row r="7" spans="1:8" ht="11.25">
      <c r="A7" s="148"/>
      <c r="B7" s="148"/>
      <c r="C7" s="148"/>
      <c r="D7" s="148"/>
      <c r="F7" s="148"/>
      <c r="H7" s="148"/>
    </row>
    <row r="8" spans="1:8" ht="11.25">
      <c r="A8" s="148"/>
      <c r="B8" s="148"/>
      <c r="C8" s="148"/>
      <c r="D8" s="148"/>
      <c r="F8" s="148"/>
      <c r="H8" s="148"/>
    </row>
    <row r="9" spans="1:8" ht="18">
      <c r="A9" s="177"/>
      <c r="B9" s="209" t="s">
        <v>274</v>
      </c>
      <c r="C9" s="209"/>
      <c r="D9" s="209"/>
      <c r="E9" s="209"/>
      <c r="F9" s="209"/>
      <c r="G9" s="209"/>
      <c r="H9" s="148"/>
    </row>
    <row r="10" spans="1:7" s="151" customFormat="1" ht="15" customHeight="1">
      <c r="A10" s="146"/>
      <c r="B10" s="174" t="s">
        <v>346</v>
      </c>
      <c r="D10" s="150"/>
      <c r="E10" s="150"/>
      <c r="F10" s="150"/>
      <c r="G10" s="150"/>
    </row>
    <row r="11" spans="1:7" s="151" customFormat="1" ht="15" customHeight="1">
      <c r="A11" s="146"/>
      <c r="B11" s="174" t="s">
        <v>347</v>
      </c>
      <c r="D11" s="150"/>
      <c r="E11" s="150"/>
      <c r="F11" s="150"/>
      <c r="G11" s="152"/>
    </row>
    <row r="12" spans="1:2" ht="15" customHeight="1">
      <c r="A12" s="146"/>
      <c r="B12" s="84" t="s">
        <v>305</v>
      </c>
    </row>
    <row r="13" spans="1:5" ht="15" customHeight="1">
      <c r="A13" s="159"/>
      <c r="B13" s="146" t="s">
        <v>310</v>
      </c>
      <c r="C13" s="182">
        <v>0.2409</v>
      </c>
      <c r="D13" s="183">
        <f>'ORÇAM Ref Ginásio Simolândia'!$H$161</f>
        <v>103860.89063877998</v>
      </c>
      <c r="E13" s="183"/>
    </row>
    <row r="14" spans="1:2" ht="15" customHeight="1">
      <c r="A14" s="178"/>
      <c r="B14" s="84" t="s">
        <v>306</v>
      </c>
    </row>
    <row r="15" spans="1:8" ht="12.75" customHeight="1">
      <c r="A15" s="203" t="s">
        <v>275</v>
      </c>
      <c r="B15" s="197" t="s">
        <v>276</v>
      </c>
      <c r="C15" s="175"/>
      <c r="D15" s="176"/>
      <c r="E15" s="206" t="s">
        <v>311</v>
      </c>
      <c r="F15" s="207"/>
      <c r="G15" s="206" t="s">
        <v>312</v>
      </c>
      <c r="H15" s="207"/>
    </row>
    <row r="16" spans="1:8" ht="10.5" customHeight="1">
      <c r="A16" s="204"/>
      <c r="B16" s="195"/>
      <c r="C16" s="197" t="s">
        <v>304</v>
      </c>
      <c r="D16" s="197" t="s">
        <v>277</v>
      </c>
      <c r="E16" s="195" t="s">
        <v>278</v>
      </c>
      <c r="F16" s="195" t="s">
        <v>277</v>
      </c>
      <c r="G16" s="195" t="s">
        <v>278</v>
      </c>
      <c r="H16" s="195" t="s">
        <v>277</v>
      </c>
    </row>
    <row r="17" spans="1:8" ht="15" customHeight="1">
      <c r="A17" s="205"/>
      <c r="B17" s="196"/>
      <c r="C17" s="196"/>
      <c r="D17" s="196"/>
      <c r="E17" s="196"/>
      <c r="F17" s="196"/>
      <c r="G17" s="196"/>
      <c r="H17" s="196"/>
    </row>
    <row r="18" spans="1:10" ht="19.5" customHeight="1">
      <c r="A18" s="153" t="s">
        <v>279</v>
      </c>
      <c r="B18" s="154" t="s">
        <v>280</v>
      </c>
      <c r="C18" s="155">
        <f>'ORÇAM Ref Ginásio Simolândia'!$H$23*(1+C13)</f>
        <v>5301.77552796</v>
      </c>
      <c r="D18" s="156">
        <f aca="true" t="shared" si="0" ref="D18:D33">C18/$C$34</f>
        <v>0.05104689065684173</v>
      </c>
      <c r="E18" s="157">
        <f>C18*F18</f>
        <v>5301.77552796</v>
      </c>
      <c r="F18" s="158">
        <v>1</v>
      </c>
      <c r="G18" s="160"/>
      <c r="H18" s="161"/>
      <c r="I18" s="162"/>
      <c r="J18" s="163"/>
    </row>
    <row r="19" spans="1:10" ht="19.5" customHeight="1">
      <c r="A19" s="153" t="s">
        <v>281</v>
      </c>
      <c r="B19" s="154" t="s">
        <v>92</v>
      </c>
      <c r="C19" s="155">
        <f>'ORÇAM Ref Ginásio Simolândia'!$H$27*(1+C13)</f>
        <v>349.56153</v>
      </c>
      <c r="D19" s="156">
        <f t="shared" si="0"/>
        <v>0.003365670444862133</v>
      </c>
      <c r="E19" s="157">
        <f>C19*F19</f>
        <v>349.56153</v>
      </c>
      <c r="F19" s="158">
        <v>1</v>
      </c>
      <c r="G19" s="160"/>
      <c r="H19" s="161"/>
      <c r="I19" s="162"/>
      <c r="J19" s="163"/>
    </row>
    <row r="20" spans="1:10" ht="19.5" customHeight="1">
      <c r="A20" s="153" t="s">
        <v>282</v>
      </c>
      <c r="B20" s="154" t="s">
        <v>307</v>
      </c>
      <c r="C20" s="155">
        <f>'ORÇAM Ref Ginásio Simolândia'!$H$60*(1+C13)</f>
        <v>8954.098629</v>
      </c>
      <c r="D20" s="156">
        <f t="shared" si="0"/>
        <v>0.08621241907256169</v>
      </c>
      <c r="E20" s="157">
        <f>C20*F20</f>
        <v>4477.0493145</v>
      </c>
      <c r="F20" s="158">
        <v>0.5</v>
      </c>
      <c r="G20" s="157">
        <f>C20*H20</f>
        <v>4477.0493145</v>
      </c>
      <c r="H20" s="158">
        <v>0.5</v>
      </c>
      <c r="I20" s="162"/>
      <c r="J20" s="163"/>
    </row>
    <row r="21" spans="1:10" ht="19.5" customHeight="1">
      <c r="A21" s="153" t="s">
        <v>283</v>
      </c>
      <c r="B21" s="154" t="s">
        <v>308</v>
      </c>
      <c r="C21" s="155">
        <f>'ORÇAM Ref Ginásio Simolândia'!$H$75*(1+C13)</f>
        <v>2702.0349319999996</v>
      </c>
      <c r="D21" s="156">
        <f t="shared" si="0"/>
        <v>0.026015903728357815</v>
      </c>
      <c r="E21" s="157">
        <f aca="true" t="shared" si="1" ref="E21:E28">$C21*F21</f>
        <v>2702.0349319999996</v>
      </c>
      <c r="F21" s="158">
        <v>1</v>
      </c>
      <c r="G21" s="160"/>
      <c r="H21" s="161"/>
      <c r="I21" s="162"/>
      <c r="J21" s="163"/>
    </row>
    <row r="22" spans="1:10" ht="19.5" customHeight="1">
      <c r="A22" s="153" t="s">
        <v>284</v>
      </c>
      <c r="B22" s="154" t="s">
        <v>28</v>
      </c>
      <c r="C22" s="155">
        <f>'ORÇAM Ref Ginásio Simolândia'!$H$79*(1+C13)</f>
        <v>230.11249599999996</v>
      </c>
      <c r="D22" s="156">
        <f t="shared" si="0"/>
        <v>0.0022155836964687036</v>
      </c>
      <c r="E22" s="157">
        <f t="shared" si="1"/>
        <v>230.11249599999996</v>
      </c>
      <c r="F22" s="158">
        <v>1</v>
      </c>
      <c r="G22" s="160"/>
      <c r="H22" s="161"/>
      <c r="I22" s="162"/>
      <c r="J22" s="163"/>
    </row>
    <row r="23" spans="1:10" ht="19.5" customHeight="1">
      <c r="A23" s="153" t="s">
        <v>285</v>
      </c>
      <c r="B23" s="154" t="s">
        <v>291</v>
      </c>
      <c r="C23" s="155">
        <f>'ORÇAM Ref Ginásio Simolândia'!$H$86*(1+C13)</f>
        <v>4633.148329999999</v>
      </c>
      <c r="D23" s="156">
        <f t="shared" si="0"/>
        <v>0.04460917195591673</v>
      </c>
      <c r="E23" s="157">
        <f t="shared" si="1"/>
        <v>4633.148329999999</v>
      </c>
      <c r="F23" s="158">
        <v>1</v>
      </c>
      <c r="G23" s="160"/>
      <c r="H23" s="161"/>
      <c r="I23" s="162"/>
      <c r="J23" s="163"/>
    </row>
    <row r="24" spans="1:10" ht="19.5" customHeight="1">
      <c r="A24" s="153" t="s">
        <v>286</v>
      </c>
      <c r="B24" s="154" t="s">
        <v>69</v>
      </c>
      <c r="C24" s="155">
        <f>'ORÇAM Ref Ginásio Simolândia'!$H$91*(1+C13)</f>
        <v>1503.1145789999998</v>
      </c>
      <c r="D24" s="156">
        <f t="shared" si="0"/>
        <v>0.01447238291290717</v>
      </c>
      <c r="E24" s="157">
        <f t="shared" si="1"/>
        <v>751.5572894999999</v>
      </c>
      <c r="F24" s="158">
        <v>0.5</v>
      </c>
      <c r="G24" s="157">
        <f>$C24*H24</f>
        <v>751.5572894999999</v>
      </c>
      <c r="H24" s="158">
        <v>0.5</v>
      </c>
      <c r="I24" s="162"/>
      <c r="J24" s="163"/>
    </row>
    <row r="25" spans="1:10" ht="19.5" customHeight="1">
      <c r="A25" s="153" t="s">
        <v>287</v>
      </c>
      <c r="B25" s="154" t="s">
        <v>294</v>
      </c>
      <c r="C25" s="155">
        <f>'ORÇAM Ref Ginásio Simolândia'!$H$97*(1+C13)</f>
        <v>2460.20188732</v>
      </c>
      <c r="D25" s="156">
        <f t="shared" si="0"/>
        <v>0.023687471503362978</v>
      </c>
      <c r="E25" s="157">
        <f t="shared" si="1"/>
        <v>1230.10094366</v>
      </c>
      <c r="F25" s="158">
        <v>0.5</v>
      </c>
      <c r="G25" s="157">
        <f>$C25*H25</f>
        <v>1230.10094366</v>
      </c>
      <c r="H25" s="158">
        <v>0.5</v>
      </c>
      <c r="I25" s="162"/>
      <c r="J25" s="163"/>
    </row>
    <row r="26" spans="1:10" ht="19.5" customHeight="1">
      <c r="A26" s="153" t="s">
        <v>288</v>
      </c>
      <c r="B26" s="154" t="s">
        <v>70</v>
      </c>
      <c r="C26" s="155">
        <f>'ORÇAM Ref Ginásio Simolândia'!$H$103*(1+C13)</f>
        <v>1139.2702899999997</v>
      </c>
      <c r="D26" s="156">
        <f t="shared" si="0"/>
        <v>0.010969194303968489</v>
      </c>
      <c r="E26" s="157">
        <f t="shared" si="1"/>
        <v>1139.2702899999997</v>
      </c>
      <c r="F26" s="158">
        <v>1</v>
      </c>
      <c r="G26" s="160"/>
      <c r="H26" s="161"/>
      <c r="I26" s="162"/>
      <c r="J26" s="163"/>
    </row>
    <row r="27" spans="1:10" ht="19.5" customHeight="1">
      <c r="A27" s="153" t="s">
        <v>289</v>
      </c>
      <c r="B27" s="154" t="s">
        <v>335</v>
      </c>
      <c r="C27" s="155">
        <f>'ORÇAM Ref Ginásio Simolândia'!$H$108*(1+C13)</f>
        <v>1248.59358</v>
      </c>
      <c r="D27" s="156">
        <f t="shared" si="0"/>
        <v>0.012021787723181675</v>
      </c>
      <c r="E27" s="157">
        <f t="shared" si="1"/>
        <v>1248.59358</v>
      </c>
      <c r="F27" s="158">
        <v>1</v>
      </c>
      <c r="G27" s="160"/>
      <c r="H27" s="161"/>
      <c r="I27" s="162"/>
      <c r="J27" s="163"/>
    </row>
    <row r="28" spans="1:10" ht="19.5" customHeight="1">
      <c r="A28" s="153" t="s">
        <v>290</v>
      </c>
      <c r="B28" s="154" t="s">
        <v>297</v>
      </c>
      <c r="C28" s="155">
        <f>'ORÇAM Ref Ginásio Simolândia'!$H$115*(1+C13)</f>
        <v>5288.765436</v>
      </c>
      <c r="D28" s="156">
        <f t="shared" si="0"/>
        <v>0.05092162606609941</v>
      </c>
      <c r="E28" s="157">
        <f t="shared" si="1"/>
        <v>1586.6296307999999</v>
      </c>
      <c r="F28" s="158">
        <v>0.3</v>
      </c>
      <c r="G28" s="157">
        <f aca="true" t="shared" si="2" ref="G28:G33">$C28*H28</f>
        <v>3702.1358051999996</v>
      </c>
      <c r="H28" s="158">
        <v>0.7</v>
      </c>
      <c r="I28" s="162"/>
      <c r="J28" s="163"/>
    </row>
    <row r="29" spans="1:10" ht="19.5" customHeight="1">
      <c r="A29" s="153" t="s">
        <v>292</v>
      </c>
      <c r="B29" s="154" t="s">
        <v>75</v>
      </c>
      <c r="C29" s="155">
        <f>'ORÇAM Ref Ginásio Simolândia'!$H$119*(1+C13)</f>
        <v>38.902215</v>
      </c>
      <c r="D29" s="156">
        <f t="shared" si="0"/>
        <v>0.0003745607683579264</v>
      </c>
      <c r="E29" s="160"/>
      <c r="F29" s="161"/>
      <c r="G29" s="157">
        <f t="shared" si="2"/>
        <v>38.902215</v>
      </c>
      <c r="H29" s="158">
        <v>1</v>
      </c>
      <c r="I29" s="162"/>
      <c r="J29" s="163"/>
    </row>
    <row r="30" spans="1:10" ht="19.5" customHeight="1">
      <c r="A30" s="153" t="s">
        <v>293</v>
      </c>
      <c r="B30" s="154" t="s">
        <v>73</v>
      </c>
      <c r="C30" s="155">
        <f>'ORÇAM Ref Ginásio Simolândia'!$H$125*(1+C13)</f>
        <v>1211.565124</v>
      </c>
      <c r="D30" s="156">
        <f t="shared" si="0"/>
        <v>0.011665267999806859</v>
      </c>
      <c r="E30" s="160"/>
      <c r="F30" s="161"/>
      <c r="G30" s="157">
        <f t="shared" si="2"/>
        <v>1211.565124</v>
      </c>
      <c r="H30" s="158">
        <v>1</v>
      </c>
      <c r="I30" s="162"/>
      <c r="J30" s="163"/>
    </row>
    <row r="31" spans="1:10" ht="19.5" customHeight="1">
      <c r="A31" s="153" t="s">
        <v>295</v>
      </c>
      <c r="B31" s="154" t="s">
        <v>234</v>
      </c>
      <c r="C31" s="155">
        <f>'ORÇAM Ref Ginásio Simolândia'!$H$131*(1+C13)</f>
        <v>21285.65406</v>
      </c>
      <c r="D31" s="156">
        <f t="shared" si="0"/>
        <v>0.204943881465737</v>
      </c>
      <c r="E31" s="157">
        <f>$C31*F31</f>
        <v>10642.82703</v>
      </c>
      <c r="F31" s="158">
        <v>0.5</v>
      </c>
      <c r="G31" s="157">
        <f t="shared" si="2"/>
        <v>10642.82703</v>
      </c>
      <c r="H31" s="158">
        <v>0.5</v>
      </c>
      <c r="I31" s="162"/>
      <c r="J31" s="163"/>
    </row>
    <row r="32" spans="1:10" ht="19.5" customHeight="1">
      <c r="A32" s="153" t="s">
        <v>296</v>
      </c>
      <c r="B32" s="154" t="s">
        <v>31</v>
      </c>
      <c r="C32" s="155">
        <f>'ORÇAM Ref Ginásio Simolândia'!$H$145*(1+C13)</f>
        <v>27902.139064499996</v>
      </c>
      <c r="D32" s="156">
        <f t="shared" si="0"/>
        <v>0.26864914110491733</v>
      </c>
      <c r="E32" s="160"/>
      <c r="F32" s="161"/>
      <c r="G32" s="157">
        <f t="shared" si="2"/>
        <v>27902.139064499996</v>
      </c>
      <c r="H32" s="158">
        <v>1</v>
      </c>
      <c r="I32" s="162"/>
      <c r="J32" s="163"/>
    </row>
    <row r="33" spans="1:10" ht="19.5" customHeight="1" thickBot="1">
      <c r="A33" s="153" t="s">
        <v>348</v>
      </c>
      <c r="B33" s="179" t="s">
        <v>77</v>
      </c>
      <c r="C33" s="155">
        <f>'ORÇAM Ref Ginásio Simolândia'!$H$156*(1+C13)</f>
        <v>19611.952957999998</v>
      </c>
      <c r="D33" s="156">
        <f t="shared" si="0"/>
        <v>0.1888290465966523</v>
      </c>
      <c r="E33" s="157">
        <f>$C33*F33</f>
        <v>1961.1952958</v>
      </c>
      <c r="F33" s="158">
        <v>0.1</v>
      </c>
      <c r="G33" s="157">
        <f t="shared" si="2"/>
        <v>17650.757662199998</v>
      </c>
      <c r="H33" s="158">
        <v>0.9</v>
      </c>
      <c r="I33" s="162"/>
      <c r="J33" s="163"/>
    </row>
    <row r="34" spans="1:8" ht="19.5" customHeight="1" thickTop="1">
      <c r="A34" s="180"/>
      <c r="B34" s="181" t="s">
        <v>309</v>
      </c>
      <c r="C34" s="164">
        <f>SUM(C18:C33)</f>
        <v>103860.89063878</v>
      </c>
      <c r="D34" s="165">
        <f>SUM(D18:D33)</f>
        <v>1</v>
      </c>
      <c r="E34" s="166"/>
      <c r="F34" s="166"/>
      <c r="G34" s="166"/>
      <c r="H34" s="166"/>
    </row>
    <row r="35" spans="1:10" ht="19.5" customHeight="1">
      <c r="A35" s="184"/>
      <c r="B35" s="185"/>
      <c r="C35" s="211" t="s">
        <v>298</v>
      </c>
      <c r="D35" s="212"/>
      <c r="E35" s="167">
        <f>SUM(E18:E33)</f>
        <v>36253.856190219994</v>
      </c>
      <c r="F35" s="168">
        <f>SUMPRODUCT($D18:$D33,F18:F33)</f>
        <v>0.34906167246637676</v>
      </c>
      <c r="G35" s="167">
        <f>SUM(G18:G33)</f>
        <v>67607.03444856</v>
      </c>
      <c r="H35" s="168">
        <f>SUMPRODUCT($D18:$D33,H18:H33)</f>
        <v>0.6509383275336232</v>
      </c>
      <c r="J35" s="163"/>
    </row>
    <row r="36" spans="1:8" ht="19.5" customHeight="1">
      <c r="A36" s="186"/>
      <c r="B36" s="210"/>
      <c r="C36" s="211" t="s">
        <v>299</v>
      </c>
      <c r="D36" s="212"/>
      <c r="E36" s="167">
        <f>E35</f>
        <v>36253.856190219994</v>
      </c>
      <c r="F36" s="168">
        <f>F35</f>
        <v>0.34906167246637676</v>
      </c>
      <c r="G36" s="167">
        <f>E36+G35</f>
        <v>103860.89063878</v>
      </c>
      <c r="H36" s="168">
        <f>F36+H35</f>
        <v>1</v>
      </c>
    </row>
    <row r="37" spans="1:8" ht="11.25">
      <c r="A37" s="169"/>
      <c r="B37" s="169"/>
      <c r="C37" s="169"/>
      <c r="D37" s="169"/>
      <c r="E37" s="169"/>
      <c r="F37" s="169"/>
      <c r="G37" s="169"/>
      <c r="H37" s="169"/>
    </row>
    <row r="38" spans="1:8" ht="11.25">
      <c r="A38" s="169"/>
      <c r="B38" s="169"/>
      <c r="C38" s="169"/>
      <c r="D38" s="169"/>
      <c r="E38" s="169"/>
      <c r="F38" s="169"/>
      <c r="G38" s="169"/>
      <c r="H38" s="169"/>
    </row>
    <row r="39" spans="1:8" ht="11.25">
      <c r="A39" s="169"/>
      <c r="B39" s="169"/>
      <c r="C39" s="208"/>
      <c r="D39" s="208"/>
      <c r="E39" s="169"/>
      <c r="F39" s="169"/>
      <c r="G39" s="169"/>
      <c r="H39" s="169"/>
    </row>
    <row r="40" spans="1:8" ht="11.25">
      <c r="A40" s="169"/>
      <c r="B40" s="169"/>
      <c r="C40" s="208"/>
      <c r="D40" s="208"/>
      <c r="E40" s="169"/>
      <c r="F40" s="169"/>
      <c r="G40" s="169"/>
      <c r="H40" s="169"/>
    </row>
    <row r="41" spans="1:8" ht="11.25">
      <c r="A41" s="169"/>
      <c r="B41" s="169"/>
      <c r="C41" s="169"/>
      <c r="D41" s="169"/>
      <c r="E41" s="169"/>
      <c r="F41" s="169"/>
      <c r="G41" s="169"/>
      <c r="H41" s="169"/>
    </row>
    <row r="42" spans="1:8" ht="11.25">
      <c r="A42" s="169"/>
      <c r="B42" s="169"/>
      <c r="C42" s="169"/>
      <c r="D42" s="169"/>
      <c r="E42" s="169"/>
      <c r="F42" s="169"/>
      <c r="G42" s="169"/>
      <c r="H42" s="169"/>
    </row>
    <row r="43" spans="1:8" ht="11.25">
      <c r="A43" s="169"/>
      <c r="B43" s="169"/>
      <c r="C43" s="169"/>
      <c r="D43" s="169"/>
      <c r="E43" s="169"/>
      <c r="F43" s="169"/>
      <c r="G43" s="169"/>
      <c r="H43" s="169"/>
    </row>
    <row r="44" spans="1:8" ht="11.25">
      <c r="A44" s="169"/>
      <c r="B44" s="169"/>
      <c r="C44" s="169"/>
      <c r="D44" s="169"/>
      <c r="E44" s="169"/>
      <c r="F44" s="169"/>
      <c r="G44" s="169"/>
      <c r="H44" s="169"/>
    </row>
    <row r="45" spans="1:8" ht="11.25">
      <c r="A45" s="169"/>
      <c r="B45" s="169"/>
      <c r="C45" s="169"/>
      <c r="D45" s="169"/>
      <c r="E45" s="169"/>
      <c r="F45" s="169"/>
      <c r="G45" s="169"/>
      <c r="H45" s="169"/>
    </row>
    <row r="46" spans="1:8" ht="11.25">
      <c r="A46" s="169"/>
      <c r="B46" s="169"/>
      <c r="C46" s="169"/>
      <c r="D46" s="169"/>
      <c r="E46" s="169"/>
      <c r="F46" s="169"/>
      <c r="G46" s="169"/>
      <c r="H46" s="169"/>
    </row>
    <row r="47" spans="1:8" ht="11.25">
      <c r="A47" s="169"/>
      <c r="B47" s="169"/>
      <c r="C47" s="169"/>
      <c r="D47" s="169"/>
      <c r="E47" s="169"/>
      <c r="F47" s="169"/>
      <c r="G47" s="169"/>
      <c r="H47" s="169"/>
    </row>
    <row r="48" spans="1:8" ht="11.25">
      <c r="A48" s="169"/>
      <c r="B48" s="169"/>
      <c r="C48" s="169"/>
      <c r="D48" s="169"/>
      <c r="E48" s="169"/>
      <c r="F48" s="169"/>
      <c r="G48" s="169"/>
      <c r="H48" s="169"/>
    </row>
    <row r="49" spans="1:8" ht="11.25">
      <c r="A49" s="169"/>
      <c r="B49" s="169"/>
      <c r="C49" s="169"/>
      <c r="D49" s="169"/>
      <c r="E49" s="169"/>
      <c r="F49" s="169"/>
      <c r="G49" s="169"/>
      <c r="H49" s="169"/>
    </row>
    <row r="50" spans="1:8" ht="11.25">
      <c r="A50" s="169"/>
      <c r="B50" s="169"/>
      <c r="C50" s="169"/>
      <c r="D50" s="169"/>
      <c r="E50" s="169"/>
      <c r="F50" s="169"/>
      <c r="G50" s="169"/>
      <c r="H50" s="169"/>
    </row>
    <row r="51" spans="1:8" ht="11.25">
      <c r="A51" s="169"/>
      <c r="B51" s="169"/>
      <c r="C51" s="169"/>
      <c r="D51" s="169"/>
      <c r="E51" s="169"/>
      <c r="F51" s="169"/>
      <c r="G51" s="169"/>
      <c r="H51" s="169"/>
    </row>
    <row r="52" spans="1:8" ht="11.25">
      <c r="A52" s="169"/>
      <c r="B52" s="169"/>
      <c r="C52" s="169"/>
      <c r="D52" s="169"/>
      <c r="E52" s="169"/>
      <c r="F52" s="169"/>
      <c r="G52" s="169"/>
      <c r="H52" s="169"/>
    </row>
    <row r="53" spans="1:8" ht="11.25">
      <c r="A53" s="202"/>
      <c r="B53" s="202"/>
      <c r="C53" s="202"/>
      <c r="D53" s="198"/>
      <c r="E53" s="198"/>
      <c r="F53" s="198"/>
      <c r="G53" s="198"/>
      <c r="H53" s="170"/>
    </row>
    <row r="54" spans="1:8" ht="11.25">
      <c r="A54" s="202"/>
      <c r="B54" s="202"/>
      <c r="C54" s="202"/>
      <c r="D54" s="198"/>
      <c r="E54" s="198"/>
      <c r="F54" s="198"/>
      <c r="G54" s="198"/>
      <c r="H54" s="170"/>
    </row>
    <row r="55" spans="1:8" ht="11.25">
      <c r="A55" s="202"/>
      <c r="B55" s="202"/>
      <c r="C55" s="202"/>
      <c r="D55" s="198"/>
      <c r="E55" s="198"/>
      <c r="F55" s="198"/>
      <c r="G55" s="198"/>
      <c r="H55" s="170"/>
    </row>
    <row r="72" spans="1:6" ht="16.5" customHeight="1">
      <c r="A72" s="171" t="s">
        <v>300</v>
      </c>
      <c r="B72" s="172"/>
      <c r="C72" s="173"/>
      <c r="D72" s="163"/>
      <c r="E72" s="163"/>
      <c r="F72" s="163"/>
    </row>
    <row r="73" spans="1:8" ht="16.5" customHeight="1">
      <c r="A73" s="199" t="s">
        <v>303</v>
      </c>
      <c r="B73" s="199"/>
      <c r="C73" s="199"/>
      <c r="D73" s="199"/>
      <c r="E73" s="199"/>
      <c r="F73" s="199"/>
      <c r="G73" s="199"/>
      <c r="H73" s="199"/>
    </row>
    <row r="74" spans="1:8" ht="16.5" customHeight="1">
      <c r="A74" s="200" t="s">
        <v>301</v>
      </c>
      <c r="B74" s="200"/>
      <c r="C74" s="200"/>
      <c r="D74" s="200"/>
      <c r="E74" s="200"/>
      <c r="F74" s="200"/>
      <c r="G74" s="200"/>
      <c r="H74" s="200"/>
    </row>
    <row r="75" spans="1:8" ht="16.5" customHeight="1">
      <c r="A75" s="201" t="s">
        <v>302</v>
      </c>
      <c r="B75" s="201"/>
      <c r="C75" s="201"/>
      <c r="D75" s="201"/>
      <c r="E75" s="201"/>
      <c r="F75" s="201"/>
      <c r="G75" s="201"/>
      <c r="H75" s="201"/>
    </row>
  </sheetData>
  <mergeCells count="26">
    <mergeCell ref="B9:G9"/>
    <mergeCell ref="D13:E13"/>
    <mergeCell ref="A35:B36"/>
    <mergeCell ref="C35:D35"/>
    <mergeCell ref="C36:D36"/>
    <mergeCell ref="G16:G17"/>
    <mergeCell ref="G15:H15"/>
    <mergeCell ref="B15:B17"/>
    <mergeCell ref="C39:D39"/>
    <mergeCell ref="C40:D40"/>
    <mergeCell ref="A15:A17"/>
    <mergeCell ref="E15:F15"/>
    <mergeCell ref="E16:E17"/>
    <mergeCell ref="F16:F17"/>
    <mergeCell ref="A73:H73"/>
    <mergeCell ref="A74:H74"/>
    <mergeCell ref="A75:H75"/>
    <mergeCell ref="A54:C54"/>
    <mergeCell ref="A55:C55"/>
    <mergeCell ref="D54:G54"/>
    <mergeCell ref="D55:G55"/>
    <mergeCell ref="H16:H17"/>
    <mergeCell ref="C16:C17"/>
    <mergeCell ref="D16:D17"/>
    <mergeCell ref="D53:G53"/>
    <mergeCell ref="A53:C53"/>
  </mergeCells>
  <printOptions horizontalCentered="1" verticalCentered="1"/>
  <pageMargins left="0.1968503937007874" right="0.15748031496062992" top="0.39" bottom="0.4330708661417323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0"/>
  <sheetViews>
    <sheetView workbookViewId="0" topLeftCell="A1">
      <pane xSplit="12" ySplit="7" topLeftCell="Q73" activePane="bottomRight" state="frozen"/>
      <selection pane="topLeft" activeCell="L32" sqref="L32"/>
      <selection pane="topRight" activeCell="L32" sqref="L32"/>
      <selection pane="bottomLeft" activeCell="L32" sqref="L32"/>
      <selection pane="bottomRight" activeCell="F76" sqref="F76:F79"/>
    </sheetView>
  </sheetViews>
  <sheetFormatPr defaultColWidth="9.140625" defaultRowHeight="12.75"/>
  <cols>
    <col min="1" max="1" width="14.7109375" style="96" customWidth="1"/>
    <col min="2" max="3" width="2.7109375" style="104" customWidth="1"/>
    <col min="4" max="4" width="5.7109375" style="104" customWidth="1"/>
    <col min="5" max="7" width="5.7109375" style="96" customWidth="1"/>
    <col min="8" max="8" width="4.7109375" style="96" customWidth="1"/>
    <col min="9" max="9" width="7.7109375" style="104" customWidth="1"/>
    <col min="10" max="10" width="7.7109375" style="132" customWidth="1"/>
    <col min="11" max="11" width="5.7109375" style="132" customWidth="1"/>
    <col min="12" max="12" width="6.28125" style="132" customWidth="1"/>
    <col min="13" max="13" width="9.7109375" style="96" customWidth="1"/>
    <col min="14" max="17" width="8.7109375" style="96" customWidth="1"/>
    <col min="18" max="20" width="10.140625" style="96" customWidth="1"/>
    <col min="21" max="25" width="8.7109375" style="96" customWidth="1"/>
    <col min="26" max="16384" width="9.140625" style="96" customWidth="1"/>
  </cols>
  <sheetData>
    <row r="1" spans="1:25" ht="12.75">
      <c r="A1" s="86" t="s">
        <v>32</v>
      </c>
      <c r="B1" s="87" t="s">
        <v>172</v>
      </c>
      <c r="C1" s="88"/>
      <c r="D1" s="89"/>
      <c r="E1" s="90"/>
      <c r="F1" s="90"/>
      <c r="G1" s="91"/>
      <c r="H1" s="91"/>
      <c r="I1" s="92"/>
      <c r="J1" s="255" t="s">
        <v>148</v>
      </c>
      <c r="K1" s="93">
        <v>1</v>
      </c>
      <c r="L1" s="94" t="s">
        <v>149</v>
      </c>
      <c r="M1" s="93"/>
      <c r="N1" s="94"/>
      <c r="O1" s="94"/>
      <c r="P1" s="94"/>
      <c r="Q1" s="94"/>
      <c r="R1" s="94"/>
      <c r="S1" s="94"/>
      <c r="T1" s="94"/>
      <c r="U1" s="252" t="s">
        <v>148</v>
      </c>
      <c r="V1" s="93">
        <v>1</v>
      </c>
      <c r="W1" s="95" t="s">
        <v>150</v>
      </c>
      <c r="X1" s="94"/>
      <c r="Y1" s="94"/>
    </row>
    <row r="2" spans="1:25" ht="12.75">
      <c r="A2" s="86" t="s">
        <v>33</v>
      </c>
      <c r="B2" s="87" t="s">
        <v>77</v>
      </c>
      <c r="C2" s="88"/>
      <c r="D2" s="89"/>
      <c r="E2" s="97"/>
      <c r="F2" s="98"/>
      <c r="G2" s="98"/>
      <c r="H2" s="98"/>
      <c r="I2" s="92"/>
      <c r="J2" s="255"/>
      <c r="K2" s="93">
        <v>2</v>
      </c>
      <c r="L2" s="94" t="s">
        <v>151</v>
      </c>
      <c r="M2" s="93"/>
      <c r="N2" s="94"/>
      <c r="O2" s="94"/>
      <c r="P2" s="94"/>
      <c r="Q2" s="94"/>
      <c r="R2" s="94"/>
      <c r="S2" s="94"/>
      <c r="T2" s="94"/>
      <c r="U2" s="252"/>
      <c r="V2" s="93">
        <v>2</v>
      </c>
      <c r="W2" s="94" t="s">
        <v>152</v>
      </c>
      <c r="X2" s="94"/>
      <c r="Y2" s="94"/>
    </row>
    <row r="3" spans="1:25" ht="12.75">
      <c r="A3" s="86"/>
      <c r="B3" s="100"/>
      <c r="C3" s="101"/>
      <c r="D3" s="102"/>
      <c r="H3" s="103"/>
      <c r="J3" s="256"/>
      <c r="K3" s="93">
        <v>3</v>
      </c>
      <c r="L3" s="94"/>
      <c r="M3" s="93"/>
      <c r="N3" s="94"/>
      <c r="O3" s="94"/>
      <c r="P3" s="94"/>
      <c r="Q3" s="94"/>
      <c r="R3" s="93"/>
      <c r="S3" s="93"/>
      <c r="T3" s="93"/>
      <c r="U3" s="93"/>
      <c r="V3" s="93"/>
      <c r="W3" s="93"/>
      <c r="X3" s="93"/>
      <c r="Y3" s="93"/>
    </row>
    <row r="4" spans="1:25" ht="12.75">
      <c r="A4" s="106"/>
      <c r="B4" s="107"/>
      <c r="C4" s="107"/>
      <c r="D4" s="107"/>
      <c r="H4" s="103"/>
      <c r="J4" s="105"/>
      <c r="K4" s="93"/>
      <c r="L4" s="94"/>
      <c r="M4" s="93"/>
      <c r="N4" s="94"/>
      <c r="O4" s="94"/>
      <c r="P4" s="94"/>
      <c r="Q4" s="94"/>
      <c r="R4" s="93"/>
      <c r="S4" s="93"/>
      <c r="T4" s="93"/>
      <c r="U4" s="93"/>
      <c r="V4" s="93"/>
      <c r="W4" s="93"/>
      <c r="X4" s="93"/>
      <c r="Y4" s="93"/>
    </row>
    <row r="5" spans="2:22" s="108" customFormat="1" ht="12.75">
      <c r="B5" s="109"/>
      <c r="C5" s="109"/>
      <c r="D5" s="110"/>
      <c r="E5" s="110"/>
      <c r="F5" s="110"/>
      <c r="G5" s="110"/>
      <c r="H5" s="109"/>
      <c r="I5" s="111"/>
      <c r="J5" s="111"/>
      <c r="K5" s="112"/>
      <c r="M5" s="233" t="s">
        <v>153</v>
      </c>
      <c r="N5" s="234"/>
      <c r="O5" s="234"/>
      <c r="P5" s="234"/>
      <c r="Q5" s="234"/>
      <c r="R5" s="233" t="s">
        <v>154</v>
      </c>
      <c r="S5" s="262"/>
      <c r="T5" s="259" t="s">
        <v>155</v>
      </c>
      <c r="U5" s="260"/>
      <c r="V5" s="261"/>
    </row>
    <row r="6" spans="1:22" s="108" customFormat="1" ht="12.75" customHeight="1">
      <c r="A6" s="113" t="s">
        <v>156</v>
      </c>
      <c r="B6" s="253" t="s">
        <v>157</v>
      </c>
      <c r="C6" s="253" t="s">
        <v>148</v>
      </c>
      <c r="D6" s="257" t="s">
        <v>158</v>
      </c>
      <c r="E6" s="257" t="s">
        <v>159</v>
      </c>
      <c r="F6" s="257" t="s">
        <v>160</v>
      </c>
      <c r="G6" s="257" t="s">
        <v>161</v>
      </c>
      <c r="H6" s="244" t="s">
        <v>162</v>
      </c>
      <c r="I6" s="245"/>
      <c r="J6" s="245"/>
      <c r="K6" s="246"/>
      <c r="L6" s="247" t="s">
        <v>163</v>
      </c>
      <c r="M6" s="249" t="s">
        <v>164</v>
      </c>
      <c r="N6" s="249" t="s">
        <v>165</v>
      </c>
      <c r="O6" s="235" t="s">
        <v>167</v>
      </c>
      <c r="P6" s="235" t="s">
        <v>166</v>
      </c>
      <c r="Q6" s="235" t="s">
        <v>182</v>
      </c>
      <c r="R6" s="235" t="s">
        <v>190</v>
      </c>
      <c r="S6" s="235" t="s">
        <v>167</v>
      </c>
      <c r="T6" s="235" t="s">
        <v>175</v>
      </c>
      <c r="U6" s="235" t="s">
        <v>176</v>
      </c>
      <c r="V6" s="242" t="s">
        <v>174</v>
      </c>
    </row>
    <row r="7" spans="1:22" s="108" customFormat="1" ht="12.75">
      <c r="A7" s="114" t="s">
        <v>168</v>
      </c>
      <c r="B7" s="254"/>
      <c r="C7" s="254"/>
      <c r="D7" s="258"/>
      <c r="E7" s="258"/>
      <c r="F7" s="258"/>
      <c r="G7" s="258"/>
      <c r="H7" s="115" t="s">
        <v>148</v>
      </c>
      <c r="I7" s="116" t="s">
        <v>169</v>
      </c>
      <c r="J7" s="116" t="s">
        <v>170</v>
      </c>
      <c r="K7" s="116" t="s">
        <v>157</v>
      </c>
      <c r="L7" s="248"/>
      <c r="M7" s="243"/>
      <c r="N7" s="243"/>
      <c r="O7" s="236"/>
      <c r="P7" s="236"/>
      <c r="Q7" s="236"/>
      <c r="R7" s="236"/>
      <c r="S7" s="236"/>
      <c r="T7" s="236"/>
      <c r="U7" s="236"/>
      <c r="V7" s="243"/>
    </row>
    <row r="8" spans="1:22" s="108" customFormat="1" ht="12.75">
      <c r="A8" s="250" t="s">
        <v>173</v>
      </c>
      <c r="B8" s="224">
        <v>2</v>
      </c>
      <c r="C8" s="224">
        <v>1</v>
      </c>
      <c r="D8" s="219"/>
      <c r="E8" s="219"/>
      <c r="F8" s="213"/>
      <c r="G8" s="237"/>
      <c r="H8" s="117" t="s">
        <v>180</v>
      </c>
      <c r="I8" s="118">
        <v>0.6</v>
      </c>
      <c r="J8" s="118">
        <v>1.8</v>
      </c>
      <c r="K8" s="118">
        <v>2</v>
      </c>
      <c r="L8" s="119">
        <f aca="true" t="shared" si="0" ref="L8:L34">I8*J8*K8</f>
        <v>2.16</v>
      </c>
      <c r="M8" s="213">
        <v>0</v>
      </c>
      <c r="N8" s="213">
        <f>IF($C8&gt;1,(($F8*$G8)-($L8+$L9+$L10))*B8,0)</f>
        <v>0</v>
      </c>
      <c r="O8" s="213">
        <v>0</v>
      </c>
      <c r="P8" s="213">
        <v>0</v>
      </c>
      <c r="Q8" s="213">
        <v>0</v>
      </c>
      <c r="R8" s="216">
        <v>0</v>
      </c>
      <c r="S8" s="216">
        <f>A10*B8</f>
        <v>18.479999999999997</v>
      </c>
      <c r="T8" s="213">
        <f>I10*J10*K10*B8*2</f>
        <v>7.839999999999999</v>
      </c>
      <c r="U8" s="213">
        <f>I8*J8*K8*3*B8+I9*J9*K9*3*B8</f>
        <v>23.040000000000003</v>
      </c>
      <c r="V8" s="213">
        <v>0</v>
      </c>
    </row>
    <row r="9" spans="1:22" s="108" customFormat="1" ht="12.75">
      <c r="A9" s="251"/>
      <c r="B9" s="225"/>
      <c r="C9" s="225"/>
      <c r="D9" s="220"/>
      <c r="E9" s="220"/>
      <c r="F9" s="214"/>
      <c r="G9" s="238"/>
      <c r="H9" s="117" t="s">
        <v>179</v>
      </c>
      <c r="I9" s="118">
        <v>0.8</v>
      </c>
      <c r="J9" s="118">
        <v>2.1</v>
      </c>
      <c r="K9" s="118">
        <v>1</v>
      </c>
      <c r="L9" s="119">
        <f t="shared" si="0"/>
        <v>1.6800000000000002</v>
      </c>
      <c r="M9" s="214"/>
      <c r="N9" s="214"/>
      <c r="O9" s="214"/>
      <c r="P9" s="214"/>
      <c r="Q9" s="214"/>
      <c r="R9" s="217"/>
      <c r="S9" s="217"/>
      <c r="T9" s="214"/>
      <c r="U9" s="214"/>
      <c r="V9" s="214"/>
    </row>
    <row r="10" spans="1:22" s="108" customFormat="1" ht="12.75">
      <c r="A10" s="120">
        <f>3.3*2.8</f>
        <v>9.239999999999998</v>
      </c>
      <c r="B10" s="226"/>
      <c r="C10" s="226"/>
      <c r="D10" s="221"/>
      <c r="E10" s="221"/>
      <c r="F10" s="215"/>
      <c r="G10" s="239"/>
      <c r="H10" s="117" t="s">
        <v>171</v>
      </c>
      <c r="I10" s="118">
        <v>2.8</v>
      </c>
      <c r="J10" s="118">
        <v>0.7</v>
      </c>
      <c r="K10" s="118">
        <v>1</v>
      </c>
      <c r="L10" s="119">
        <f t="shared" si="0"/>
        <v>1.9599999999999997</v>
      </c>
      <c r="M10" s="215"/>
      <c r="N10" s="215"/>
      <c r="O10" s="215"/>
      <c r="P10" s="215"/>
      <c r="Q10" s="215"/>
      <c r="R10" s="218"/>
      <c r="S10" s="218"/>
      <c r="T10" s="215"/>
      <c r="U10" s="215"/>
      <c r="V10" s="215"/>
    </row>
    <row r="11" spans="1:22" s="108" customFormat="1" ht="12.75">
      <c r="A11" s="240" t="s">
        <v>177</v>
      </c>
      <c r="B11" s="224">
        <v>1</v>
      </c>
      <c r="C11" s="224">
        <v>1</v>
      </c>
      <c r="D11" s="219"/>
      <c r="E11" s="219"/>
      <c r="F11" s="213"/>
      <c r="G11" s="237"/>
      <c r="H11" s="117"/>
      <c r="I11" s="118"/>
      <c r="J11" s="118"/>
      <c r="K11" s="118"/>
      <c r="L11" s="119">
        <f t="shared" si="0"/>
        <v>0</v>
      </c>
      <c r="M11" s="213">
        <f>IF($C11&lt;=10,(($F11*$G11)-($L11+$L12+$L13))*$B11,0)</f>
        <v>0</v>
      </c>
      <c r="N11" s="213">
        <f>IF($C11&gt;1,(($F11*$G11)-($L11+$L12+$L13))*B11,0)</f>
        <v>0</v>
      </c>
      <c r="O11" s="213">
        <f>IF($C11=1,(($F11*$G11)-($L11+$L12+$L13))*B11,0)</f>
        <v>0</v>
      </c>
      <c r="P11" s="213">
        <v>0</v>
      </c>
      <c r="Q11" s="213">
        <v>0</v>
      </c>
      <c r="R11" s="216">
        <v>0</v>
      </c>
      <c r="S11" s="216">
        <f>A13*B11</f>
        <v>5.319999999999999</v>
      </c>
      <c r="T11" s="213">
        <v>0</v>
      </c>
      <c r="U11" s="213">
        <f>O11</f>
        <v>0</v>
      </c>
      <c r="V11" s="213">
        <v>0</v>
      </c>
    </row>
    <row r="12" spans="1:22" s="108" customFormat="1" ht="12.75">
      <c r="A12" s="241"/>
      <c r="B12" s="225"/>
      <c r="C12" s="225"/>
      <c r="D12" s="220"/>
      <c r="E12" s="220"/>
      <c r="F12" s="214"/>
      <c r="G12" s="238"/>
      <c r="H12" s="117"/>
      <c r="I12" s="118"/>
      <c r="J12" s="118"/>
      <c r="K12" s="118"/>
      <c r="L12" s="119">
        <f t="shared" si="0"/>
        <v>0</v>
      </c>
      <c r="M12" s="214"/>
      <c r="N12" s="214"/>
      <c r="O12" s="214"/>
      <c r="P12" s="214"/>
      <c r="Q12" s="214"/>
      <c r="R12" s="217"/>
      <c r="S12" s="217"/>
      <c r="T12" s="214"/>
      <c r="U12" s="214"/>
      <c r="V12" s="214"/>
    </row>
    <row r="13" spans="1:22" s="108" customFormat="1" ht="12.75">
      <c r="A13" s="120">
        <f>1.9*2.8</f>
        <v>5.319999999999999</v>
      </c>
      <c r="B13" s="226"/>
      <c r="C13" s="226"/>
      <c r="D13" s="221"/>
      <c r="E13" s="221"/>
      <c r="F13" s="215"/>
      <c r="G13" s="239"/>
      <c r="H13" s="117"/>
      <c r="I13" s="118"/>
      <c r="J13" s="118"/>
      <c r="K13" s="118"/>
      <c r="L13" s="119">
        <f t="shared" si="0"/>
        <v>0</v>
      </c>
      <c r="M13" s="215"/>
      <c r="N13" s="215"/>
      <c r="O13" s="215"/>
      <c r="P13" s="215"/>
      <c r="Q13" s="215"/>
      <c r="R13" s="218"/>
      <c r="S13" s="218"/>
      <c r="T13" s="215"/>
      <c r="U13" s="215"/>
      <c r="V13" s="215"/>
    </row>
    <row r="14" spans="1:22" s="108" customFormat="1" ht="12.75">
      <c r="A14" s="240" t="s">
        <v>178</v>
      </c>
      <c r="B14" s="224">
        <v>1</v>
      </c>
      <c r="C14" s="224">
        <v>1</v>
      </c>
      <c r="D14" s="219">
        <v>2.8</v>
      </c>
      <c r="E14" s="219">
        <v>1.9</v>
      </c>
      <c r="F14" s="213">
        <f>2*(E14+D14)</f>
        <v>9.399999999999999</v>
      </c>
      <c r="G14" s="237">
        <v>1.6</v>
      </c>
      <c r="H14" s="117" t="s">
        <v>181</v>
      </c>
      <c r="I14" s="118">
        <v>0.7</v>
      </c>
      <c r="J14" s="118">
        <v>2.1</v>
      </c>
      <c r="K14" s="118">
        <v>1</v>
      </c>
      <c r="L14" s="119">
        <f t="shared" si="0"/>
        <v>1.47</v>
      </c>
      <c r="M14" s="213">
        <v>0</v>
      </c>
      <c r="N14" s="213">
        <f>IF($C14&gt;1,(($F14*$G14)-($L14+$L15+$L16))*B14,0)</f>
        <v>0</v>
      </c>
      <c r="O14" s="213">
        <f>F14*1</f>
        <v>9.399999999999999</v>
      </c>
      <c r="P14" s="213">
        <v>0</v>
      </c>
      <c r="Q14" s="213">
        <f>IF($C14=1,(($F14*$G14)-($L14+$L15+$L16))*$B14,0)</f>
        <v>11.07</v>
      </c>
      <c r="R14" s="216">
        <v>0</v>
      </c>
      <c r="S14" s="216">
        <f>A16*B14</f>
        <v>5.319999999999999</v>
      </c>
      <c r="T14" s="213">
        <f>I15*J15*K15*2+I16*J16*K16*2</f>
        <v>5</v>
      </c>
      <c r="U14" s="213">
        <f>I14*J14*K14*3</f>
        <v>4.41</v>
      </c>
      <c r="V14" s="213">
        <v>0</v>
      </c>
    </row>
    <row r="15" spans="1:22" s="108" customFormat="1" ht="12.75">
      <c r="A15" s="241"/>
      <c r="B15" s="225"/>
      <c r="C15" s="225"/>
      <c r="D15" s="220"/>
      <c r="E15" s="220"/>
      <c r="F15" s="214"/>
      <c r="G15" s="238"/>
      <c r="H15" s="117" t="s">
        <v>171</v>
      </c>
      <c r="I15" s="118">
        <v>2.8</v>
      </c>
      <c r="J15" s="118">
        <v>0.7</v>
      </c>
      <c r="K15" s="118">
        <v>1</v>
      </c>
      <c r="L15" s="119">
        <f t="shared" si="0"/>
        <v>1.9599999999999997</v>
      </c>
      <c r="M15" s="214"/>
      <c r="N15" s="214"/>
      <c r="O15" s="214"/>
      <c r="P15" s="214"/>
      <c r="Q15" s="214"/>
      <c r="R15" s="217"/>
      <c r="S15" s="217"/>
      <c r="T15" s="214"/>
      <c r="U15" s="214"/>
      <c r="V15" s="214"/>
    </row>
    <row r="16" spans="1:22" s="108" customFormat="1" ht="12.75">
      <c r="A16" s="120">
        <f>2.8*1.9</f>
        <v>5.319999999999999</v>
      </c>
      <c r="B16" s="226"/>
      <c r="C16" s="226"/>
      <c r="D16" s="221"/>
      <c r="E16" s="221"/>
      <c r="F16" s="215"/>
      <c r="G16" s="239"/>
      <c r="H16" s="117" t="s">
        <v>183</v>
      </c>
      <c r="I16" s="118">
        <v>0.45</v>
      </c>
      <c r="J16" s="118">
        <v>0.6</v>
      </c>
      <c r="K16" s="118">
        <v>2</v>
      </c>
      <c r="L16" s="119">
        <f t="shared" si="0"/>
        <v>0.54</v>
      </c>
      <c r="M16" s="215"/>
      <c r="N16" s="215"/>
      <c r="O16" s="215"/>
      <c r="P16" s="215"/>
      <c r="Q16" s="215"/>
      <c r="R16" s="218"/>
      <c r="S16" s="218"/>
      <c r="T16" s="215"/>
      <c r="U16" s="215"/>
      <c r="V16" s="215"/>
    </row>
    <row r="17" spans="1:22" s="108" customFormat="1" ht="12.75" customHeight="1">
      <c r="A17" s="240" t="s">
        <v>184</v>
      </c>
      <c r="B17" s="224">
        <v>1</v>
      </c>
      <c r="C17" s="224">
        <v>1</v>
      </c>
      <c r="D17" s="219"/>
      <c r="E17" s="219"/>
      <c r="F17" s="213">
        <f>1.6+1.6+2.8+1.9+1.9</f>
        <v>9.8</v>
      </c>
      <c r="G17" s="237">
        <v>1.6</v>
      </c>
      <c r="H17" s="117" t="s">
        <v>185</v>
      </c>
      <c r="I17" s="118">
        <v>2.8</v>
      </c>
      <c r="J17" s="118">
        <v>2.6</v>
      </c>
      <c r="K17" s="118">
        <v>1</v>
      </c>
      <c r="L17" s="119">
        <f t="shared" si="0"/>
        <v>7.279999999999999</v>
      </c>
      <c r="M17" s="213">
        <v>0</v>
      </c>
      <c r="N17" s="213">
        <f>IF($C17&gt;1,(($F17*$G17)-($L17+$L18+$L19))*B17,0)</f>
        <v>0</v>
      </c>
      <c r="O17" s="213">
        <f>F17*1</f>
        <v>9.8</v>
      </c>
      <c r="P17" s="213">
        <v>0</v>
      </c>
      <c r="Q17" s="213">
        <f>IF($C17=1,(($F17*$G17)-($L17+$L18+$L19))*B17,0)</f>
        <v>8.400000000000002</v>
      </c>
      <c r="R17" s="216">
        <v>0</v>
      </c>
      <c r="S17" s="216">
        <f>A19*B17</f>
        <v>19.46</v>
      </c>
      <c r="T17" s="213">
        <f>I17*J17*K17*2</f>
        <v>14.559999999999999</v>
      </c>
      <c r="U17" s="213">
        <v>0</v>
      </c>
      <c r="V17" s="213">
        <v>0</v>
      </c>
    </row>
    <row r="18" spans="1:22" s="108" customFormat="1" ht="12.75">
      <c r="A18" s="241"/>
      <c r="B18" s="225"/>
      <c r="C18" s="225"/>
      <c r="D18" s="220"/>
      <c r="E18" s="220"/>
      <c r="F18" s="214"/>
      <c r="G18" s="238"/>
      <c r="H18" s="117"/>
      <c r="I18" s="118"/>
      <c r="J18" s="118"/>
      <c r="K18" s="118"/>
      <c r="L18" s="119">
        <f t="shared" si="0"/>
        <v>0</v>
      </c>
      <c r="M18" s="214"/>
      <c r="N18" s="214"/>
      <c r="O18" s="214"/>
      <c r="P18" s="214"/>
      <c r="Q18" s="214"/>
      <c r="R18" s="217"/>
      <c r="S18" s="217"/>
      <c r="T18" s="214"/>
      <c r="U18" s="214"/>
      <c r="V18" s="214"/>
    </row>
    <row r="19" spans="1:22" s="108" customFormat="1" ht="12.75">
      <c r="A19" s="120">
        <f>(2.8+2.8+3)*1.6+1.9*3</f>
        <v>19.46</v>
      </c>
      <c r="B19" s="226"/>
      <c r="C19" s="226"/>
      <c r="D19" s="221"/>
      <c r="E19" s="221"/>
      <c r="F19" s="215"/>
      <c r="G19" s="239"/>
      <c r="H19" s="117"/>
      <c r="I19" s="118"/>
      <c r="J19" s="118"/>
      <c r="K19" s="118"/>
      <c r="L19" s="119">
        <f t="shared" si="0"/>
        <v>0</v>
      </c>
      <c r="M19" s="215"/>
      <c r="N19" s="215"/>
      <c r="O19" s="215"/>
      <c r="P19" s="215"/>
      <c r="Q19" s="215"/>
      <c r="R19" s="218"/>
      <c r="S19" s="218"/>
      <c r="T19" s="215"/>
      <c r="U19" s="215"/>
      <c r="V19" s="215"/>
    </row>
    <row r="20" spans="1:22" s="108" customFormat="1" ht="12.75">
      <c r="A20" s="250" t="s">
        <v>192</v>
      </c>
      <c r="B20" s="224">
        <v>2</v>
      </c>
      <c r="C20" s="224">
        <v>1</v>
      </c>
      <c r="D20" s="219"/>
      <c r="E20" s="219"/>
      <c r="F20" s="213">
        <f>2*8.3+0.3</f>
        <v>16.900000000000002</v>
      </c>
      <c r="G20" s="237">
        <v>1.6</v>
      </c>
      <c r="H20" s="117"/>
      <c r="I20" s="118"/>
      <c r="J20" s="118"/>
      <c r="K20" s="118"/>
      <c r="L20" s="119">
        <f t="shared" si="0"/>
        <v>0</v>
      </c>
      <c r="M20" s="213">
        <v>0</v>
      </c>
      <c r="N20" s="213">
        <f>IF($C20&gt;1,(($F20*$G20)-($L20+$L21+$L22))*B20,0)</f>
        <v>0</v>
      </c>
      <c r="O20" s="213">
        <f>F20*1</f>
        <v>16.900000000000002</v>
      </c>
      <c r="P20" s="213">
        <v>0</v>
      </c>
      <c r="Q20" s="213">
        <f>IF($C20=1,(($F20*$G20)-($L20+$L21+$L22))*$B20,0)</f>
        <v>54.08000000000001</v>
      </c>
      <c r="R20" s="216">
        <v>0</v>
      </c>
      <c r="S20" s="216">
        <f>A22*B20</f>
        <v>0</v>
      </c>
      <c r="T20" s="213">
        <f>I21*J21*K21*2+I22*J22*K22*2</f>
        <v>0</v>
      </c>
      <c r="U20" s="213">
        <f>I20*J20*K20*3</f>
        <v>0</v>
      </c>
      <c r="V20" s="213">
        <v>0</v>
      </c>
    </row>
    <row r="21" spans="1:22" s="108" customFormat="1" ht="12.75">
      <c r="A21" s="251"/>
      <c r="B21" s="225"/>
      <c r="C21" s="225"/>
      <c r="D21" s="220"/>
      <c r="E21" s="220"/>
      <c r="F21" s="214"/>
      <c r="G21" s="238"/>
      <c r="H21" s="117"/>
      <c r="I21" s="118"/>
      <c r="J21" s="118"/>
      <c r="K21" s="118"/>
      <c r="L21" s="119">
        <f t="shared" si="0"/>
        <v>0</v>
      </c>
      <c r="M21" s="214"/>
      <c r="N21" s="214"/>
      <c r="O21" s="214"/>
      <c r="P21" s="214"/>
      <c r="Q21" s="214"/>
      <c r="R21" s="217"/>
      <c r="S21" s="217"/>
      <c r="T21" s="214"/>
      <c r="U21" s="214"/>
      <c r="V21" s="214"/>
    </row>
    <row r="22" spans="1:22" s="108" customFormat="1" ht="12.75">
      <c r="A22" s="120"/>
      <c r="B22" s="226"/>
      <c r="C22" s="226"/>
      <c r="D22" s="221"/>
      <c r="E22" s="221"/>
      <c r="F22" s="215"/>
      <c r="G22" s="239"/>
      <c r="H22" s="117"/>
      <c r="I22" s="118"/>
      <c r="J22" s="118"/>
      <c r="K22" s="118"/>
      <c r="L22" s="119">
        <f t="shared" si="0"/>
        <v>0</v>
      </c>
      <c r="M22" s="215"/>
      <c r="N22" s="215"/>
      <c r="O22" s="215"/>
      <c r="P22" s="215"/>
      <c r="Q22" s="215"/>
      <c r="R22" s="218"/>
      <c r="S22" s="218"/>
      <c r="T22" s="215"/>
      <c r="U22" s="215"/>
      <c r="V22" s="215"/>
    </row>
    <row r="23" spans="1:22" s="108" customFormat="1" ht="12.75">
      <c r="A23" s="240" t="s">
        <v>186</v>
      </c>
      <c r="B23" s="224">
        <v>2</v>
      </c>
      <c r="C23" s="224">
        <v>1</v>
      </c>
      <c r="D23" s="219"/>
      <c r="E23" s="219"/>
      <c r="F23" s="213">
        <f>6.1+2.8</f>
        <v>8.899999999999999</v>
      </c>
      <c r="G23" s="237">
        <v>1.6</v>
      </c>
      <c r="H23" s="117"/>
      <c r="I23" s="118"/>
      <c r="J23" s="118"/>
      <c r="K23" s="118"/>
      <c r="L23" s="119">
        <f t="shared" si="0"/>
        <v>0</v>
      </c>
      <c r="M23" s="213">
        <v>0</v>
      </c>
      <c r="N23" s="213">
        <f>IF($C23&gt;1,(($F23*$G23)-($L23+$L24+$L25))*B23,0)</f>
        <v>0</v>
      </c>
      <c r="O23" s="213">
        <f>2.8*2.4*B23</f>
        <v>13.44</v>
      </c>
      <c r="P23" s="213">
        <v>0</v>
      </c>
      <c r="Q23" s="213">
        <f>IF($C23=1,(($F23*$G23)-($L23+$L24+$L25))*$B23,0)</f>
        <v>28.479999999999997</v>
      </c>
      <c r="R23" s="216">
        <v>0</v>
      </c>
      <c r="S23" s="216">
        <f>A25*B23</f>
        <v>0</v>
      </c>
      <c r="T23" s="213">
        <f>I24*J24*K24*2+I25*J25*K25*2</f>
        <v>0</v>
      </c>
      <c r="U23" s="213">
        <f>I23*J23*K23*3</f>
        <v>0</v>
      </c>
      <c r="V23" s="213">
        <v>0</v>
      </c>
    </row>
    <row r="24" spans="1:22" s="108" customFormat="1" ht="12.75">
      <c r="A24" s="241"/>
      <c r="B24" s="225"/>
      <c r="C24" s="225"/>
      <c r="D24" s="220"/>
      <c r="E24" s="220"/>
      <c r="F24" s="214"/>
      <c r="G24" s="238"/>
      <c r="H24" s="117"/>
      <c r="I24" s="118"/>
      <c r="J24" s="118"/>
      <c r="K24" s="118"/>
      <c r="L24" s="119">
        <f t="shared" si="0"/>
        <v>0</v>
      </c>
      <c r="M24" s="214"/>
      <c r="N24" s="214"/>
      <c r="O24" s="214"/>
      <c r="P24" s="214"/>
      <c r="Q24" s="214"/>
      <c r="R24" s="217"/>
      <c r="S24" s="217"/>
      <c r="T24" s="214"/>
      <c r="U24" s="214"/>
      <c r="V24" s="214"/>
    </row>
    <row r="25" spans="1:22" s="108" customFormat="1" ht="12.75">
      <c r="A25" s="120"/>
      <c r="B25" s="226"/>
      <c r="C25" s="226"/>
      <c r="D25" s="221"/>
      <c r="E25" s="221"/>
      <c r="F25" s="215"/>
      <c r="G25" s="239"/>
      <c r="H25" s="117"/>
      <c r="I25" s="118"/>
      <c r="J25" s="118"/>
      <c r="K25" s="118"/>
      <c r="L25" s="119">
        <f t="shared" si="0"/>
        <v>0</v>
      </c>
      <c r="M25" s="215"/>
      <c r="N25" s="215"/>
      <c r="O25" s="215"/>
      <c r="P25" s="215"/>
      <c r="Q25" s="215"/>
      <c r="R25" s="218"/>
      <c r="S25" s="218"/>
      <c r="T25" s="215"/>
      <c r="U25" s="215"/>
      <c r="V25" s="215"/>
    </row>
    <row r="26" spans="1:22" s="108" customFormat="1" ht="12.75">
      <c r="A26" s="240" t="s">
        <v>186</v>
      </c>
      <c r="B26" s="224">
        <v>2</v>
      </c>
      <c r="C26" s="224">
        <v>1</v>
      </c>
      <c r="D26" s="219"/>
      <c r="E26" s="219"/>
      <c r="F26" s="213">
        <f>2.8+2.8+2.8+2.8+3</f>
        <v>14.2</v>
      </c>
      <c r="G26" s="237">
        <v>1.5</v>
      </c>
      <c r="H26" s="117"/>
      <c r="I26" s="118"/>
      <c r="J26" s="118"/>
      <c r="K26" s="118"/>
      <c r="L26" s="119">
        <f t="shared" si="0"/>
        <v>0</v>
      </c>
      <c r="M26" s="213">
        <v>0</v>
      </c>
      <c r="N26" s="213">
        <f>IF($C26&gt;1,(($F26*$G26)-($L26+$L27+$L28))*B26,0)</f>
        <v>0</v>
      </c>
      <c r="O26" s="213">
        <f>F26*G26</f>
        <v>21.299999999999997</v>
      </c>
      <c r="P26" s="213">
        <v>0</v>
      </c>
      <c r="Q26" s="213">
        <v>0</v>
      </c>
      <c r="R26" s="216">
        <v>0</v>
      </c>
      <c r="S26" s="216">
        <f>A28*B26</f>
        <v>0</v>
      </c>
      <c r="T26" s="213">
        <f>I27*J27*K27*2+I28*J28*K28*2</f>
        <v>0</v>
      </c>
      <c r="U26" s="213">
        <f>I26*J26*K26*3</f>
        <v>0</v>
      </c>
      <c r="V26" s="213">
        <v>0</v>
      </c>
    </row>
    <row r="27" spans="1:22" s="108" customFormat="1" ht="12.75">
      <c r="A27" s="241"/>
      <c r="B27" s="225"/>
      <c r="C27" s="225"/>
      <c r="D27" s="220"/>
      <c r="E27" s="220"/>
      <c r="F27" s="214"/>
      <c r="G27" s="238"/>
      <c r="H27" s="117"/>
      <c r="I27" s="118"/>
      <c r="J27" s="118"/>
      <c r="K27" s="118"/>
      <c r="L27" s="119">
        <f t="shared" si="0"/>
        <v>0</v>
      </c>
      <c r="M27" s="214"/>
      <c r="N27" s="214"/>
      <c r="O27" s="214"/>
      <c r="P27" s="214"/>
      <c r="Q27" s="214"/>
      <c r="R27" s="217"/>
      <c r="S27" s="217"/>
      <c r="T27" s="214"/>
      <c r="U27" s="214"/>
      <c r="V27" s="214"/>
    </row>
    <row r="28" spans="1:22" s="108" customFormat="1" ht="12.75">
      <c r="A28" s="120"/>
      <c r="B28" s="226"/>
      <c r="C28" s="226"/>
      <c r="D28" s="221"/>
      <c r="E28" s="221"/>
      <c r="F28" s="215"/>
      <c r="G28" s="239"/>
      <c r="H28" s="117"/>
      <c r="I28" s="118"/>
      <c r="J28" s="118"/>
      <c r="K28" s="118"/>
      <c r="L28" s="119">
        <f t="shared" si="0"/>
        <v>0</v>
      </c>
      <c r="M28" s="215"/>
      <c r="N28" s="215"/>
      <c r="O28" s="215"/>
      <c r="P28" s="215"/>
      <c r="Q28" s="215"/>
      <c r="R28" s="218"/>
      <c r="S28" s="218"/>
      <c r="T28" s="215"/>
      <c r="U28" s="215"/>
      <c r="V28" s="215"/>
    </row>
    <row r="29" spans="1:22" s="108" customFormat="1" ht="12.75">
      <c r="A29" s="250" t="s">
        <v>187</v>
      </c>
      <c r="B29" s="224">
        <v>2</v>
      </c>
      <c r="C29" s="224">
        <v>1</v>
      </c>
      <c r="D29" s="219"/>
      <c r="E29" s="219"/>
      <c r="F29" s="213">
        <v>33.3</v>
      </c>
      <c r="G29" s="237">
        <v>1</v>
      </c>
      <c r="H29" s="117"/>
      <c r="I29" s="118"/>
      <c r="J29" s="118"/>
      <c r="K29" s="118"/>
      <c r="L29" s="119">
        <f t="shared" si="0"/>
        <v>0</v>
      </c>
      <c r="M29" s="213">
        <v>0</v>
      </c>
      <c r="N29" s="213">
        <f>IF($C29&gt;1,(($F29*$G29)-($L29+$L30+$L31))*B29,0)</f>
        <v>0</v>
      </c>
      <c r="O29" s="213">
        <v>0</v>
      </c>
      <c r="P29" s="213">
        <v>0</v>
      </c>
      <c r="Q29" s="213">
        <f>IF($C29=1,(($F29*$G29)-($L29+$L30+$L31))*$B29,0)</f>
        <v>66.6</v>
      </c>
      <c r="R29" s="216">
        <f>F29*6.4*B29</f>
        <v>426.24</v>
      </c>
      <c r="S29" s="216">
        <f>A31*B29</f>
        <v>0</v>
      </c>
      <c r="T29" s="213">
        <f>I30*J30*K30*2+I31*J31*K31*2</f>
        <v>0</v>
      </c>
      <c r="U29" s="213">
        <f>I29*J29*K29*3</f>
        <v>0</v>
      </c>
      <c r="V29" s="213">
        <v>0</v>
      </c>
    </row>
    <row r="30" spans="1:22" s="108" customFormat="1" ht="12.75">
      <c r="A30" s="251"/>
      <c r="B30" s="225"/>
      <c r="C30" s="225"/>
      <c r="D30" s="220"/>
      <c r="E30" s="220"/>
      <c r="F30" s="214"/>
      <c r="G30" s="238"/>
      <c r="H30" s="117"/>
      <c r="I30" s="118"/>
      <c r="J30" s="118"/>
      <c r="K30" s="118"/>
      <c r="L30" s="119">
        <f t="shared" si="0"/>
        <v>0</v>
      </c>
      <c r="M30" s="214"/>
      <c r="N30" s="214"/>
      <c r="O30" s="214"/>
      <c r="P30" s="214"/>
      <c r="Q30" s="214"/>
      <c r="R30" s="217"/>
      <c r="S30" s="217"/>
      <c r="T30" s="214"/>
      <c r="U30" s="214"/>
      <c r="V30" s="214"/>
    </row>
    <row r="31" spans="1:22" s="108" customFormat="1" ht="12.75">
      <c r="A31" s="120"/>
      <c r="B31" s="226"/>
      <c r="C31" s="226"/>
      <c r="D31" s="221"/>
      <c r="E31" s="221"/>
      <c r="F31" s="215"/>
      <c r="G31" s="239"/>
      <c r="H31" s="117"/>
      <c r="I31" s="118"/>
      <c r="J31" s="118"/>
      <c r="K31" s="118"/>
      <c r="L31" s="119">
        <f t="shared" si="0"/>
        <v>0</v>
      </c>
      <c r="M31" s="215"/>
      <c r="N31" s="215"/>
      <c r="O31" s="215"/>
      <c r="P31" s="215"/>
      <c r="Q31" s="215"/>
      <c r="R31" s="218"/>
      <c r="S31" s="218"/>
      <c r="T31" s="215"/>
      <c r="U31" s="215"/>
      <c r="V31" s="215"/>
    </row>
    <row r="32" spans="1:22" s="108" customFormat="1" ht="12.75">
      <c r="A32" s="250" t="s">
        <v>188</v>
      </c>
      <c r="B32" s="224">
        <v>2</v>
      </c>
      <c r="C32" s="224">
        <v>1</v>
      </c>
      <c r="D32" s="219"/>
      <c r="E32" s="219"/>
      <c r="F32" s="213">
        <f>33.3-2</f>
        <v>31.299999999999997</v>
      </c>
      <c r="G32" s="237">
        <v>1.5</v>
      </c>
      <c r="H32" s="117"/>
      <c r="I32" s="118"/>
      <c r="J32" s="118"/>
      <c r="K32" s="118"/>
      <c r="L32" s="119">
        <f t="shared" si="0"/>
        <v>0</v>
      </c>
      <c r="M32" s="213">
        <v>0</v>
      </c>
      <c r="N32" s="213">
        <f>IF($C32&gt;1,(($F32*$G32)-($L32+$L33+$L34))*B32,0)</f>
        <v>0</v>
      </c>
      <c r="O32" s="213">
        <v>0</v>
      </c>
      <c r="P32" s="213">
        <v>0</v>
      </c>
      <c r="Q32" s="213">
        <f>IF($C32=1,(($F32*$G32)-($L32+$L33+$L34))*$B32,0)</f>
        <v>75.11999999999999</v>
      </c>
      <c r="R32" s="216">
        <v>0</v>
      </c>
      <c r="S32" s="216">
        <f>A34*B32</f>
        <v>0</v>
      </c>
      <c r="T32" s="213">
        <f>I33*J33*K33*2*B32</f>
        <v>37.56</v>
      </c>
      <c r="U32" s="213">
        <f>I32*J32*K32*3</f>
        <v>0</v>
      </c>
      <c r="V32" s="213">
        <v>0</v>
      </c>
    </row>
    <row r="33" spans="1:22" s="108" customFormat="1" ht="12.75">
      <c r="A33" s="251"/>
      <c r="B33" s="225"/>
      <c r="C33" s="225"/>
      <c r="D33" s="220"/>
      <c r="E33" s="220"/>
      <c r="F33" s="214"/>
      <c r="G33" s="238"/>
      <c r="H33" s="117" t="s">
        <v>189</v>
      </c>
      <c r="I33" s="118">
        <v>31.3</v>
      </c>
      <c r="J33" s="118">
        <v>0.3</v>
      </c>
      <c r="K33" s="118">
        <v>1</v>
      </c>
      <c r="L33" s="119">
        <f t="shared" si="0"/>
        <v>9.39</v>
      </c>
      <c r="M33" s="214"/>
      <c r="N33" s="214"/>
      <c r="O33" s="214"/>
      <c r="P33" s="214"/>
      <c r="Q33" s="214"/>
      <c r="R33" s="217"/>
      <c r="S33" s="217"/>
      <c r="T33" s="214"/>
      <c r="U33" s="214"/>
      <c r="V33" s="214"/>
    </row>
    <row r="34" spans="1:22" s="108" customFormat="1" ht="12.75">
      <c r="A34" s="120"/>
      <c r="B34" s="226"/>
      <c r="C34" s="226"/>
      <c r="D34" s="221"/>
      <c r="E34" s="221"/>
      <c r="F34" s="215"/>
      <c r="G34" s="239"/>
      <c r="H34" s="117"/>
      <c r="I34" s="118"/>
      <c r="J34" s="118"/>
      <c r="K34" s="118"/>
      <c r="L34" s="119">
        <f t="shared" si="0"/>
        <v>0</v>
      </c>
      <c r="M34" s="215"/>
      <c r="N34" s="215"/>
      <c r="O34" s="215"/>
      <c r="P34" s="215"/>
      <c r="Q34" s="215"/>
      <c r="R34" s="218"/>
      <c r="S34" s="218"/>
      <c r="T34" s="215"/>
      <c r="U34" s="215"/>
      <c r="V34" s="215"/>
    </row>
    <row r="35" spans="1:22" s="108" customFormat="1" ht="12.75">
      <c r="A35" s="250" t="s">
        <v>191</v>
      </c>
      <c r="B35" s="224">
        <v>2</v>
      </c>
      <c r="C35" s="224">
        <v>1</v>
      </c>
      <c r="D35" s="219"/>
      <c r="E35" s="219"/>
      <c r="F35" s="213">
        <v>16.4</v>
      </c>
      <c r="G35" s="237">
        <v>1.5</v>
      </c>
      <c r="H35" s="117"/>
      <c r="I35" s="118"/>
      <c r="J35" s="118"/>
      <c r="K35" s="118"/>
      <c r="L35" s="119">
        <f aca="true" t="shared" si="1" ref="L35:L40">I35*J35*K35</f>
        <v>0</v>
      </c>
      <c r="M35" s="213">
        <v>0</v>
      </c>
      <c r="N35" s="213">
        <f>IF($C35&gt;1,(($F35*$G35)-($L35+$L36+$L37))*B35,0)</f>
        <v>0</v>
      </c>
      <c r="O35" s="213">
        <v>0</v>
      </c>
      <c r="P35" s="213">
        <v>0</v>
      </c>
      <c r="Q35" s="213">
        <f>IF($C35=1,(($F35*$G35)-($L35+$L36+$L37))*$B35,0)</f>
        <v>49.199999999999996</v>
      </c>
      <c r="R35" s="216">
        <v>0</v>
      </c>
      <c r="S35" s="216">
        <f>A37*B35</f>
        <v>0</v>
      </c>
      <c r="T35" s="213">
        <f>I36*J36*K36*2*B35</f>
        <v>0</v>
      </c>
      <c r="U35" s="213">
        <f>I35*J35*K35*3</f>
        <v>0</v>
      </c>
      <c r="V35" s="213">
        <v>0</v>
      </c>
    </row>
    <row r="36" spans="1:22" s="108" customFormat="1" ht="12.75">
      <c r="A36" s="251"/>
      <c r="B36" s="225"/>
      <c r="C36" s="225"/>
      <c r="D36" s="220"/>
      <c r="E36" s="220"/>
      <c r="F36" s="214"/>
      <c r="G36" s="238"/>
      <c r="H36" s="117"/>
      <c r="I36" s="118"/>
      <c r="J36" s="118"/>
      <c r="K36" s="118"/>
      <c r="L36" s="119">
        <f t="shared" si="1"/>
        <v>0</v>
      </c>
      <c r="M36" s="214"/>
      <c r="N36" s="214"/>
      <c r="O36" s="214"/>
      <c r="P36" s="214"/>
      <c r="Q36" s="214"/>
      <c r="R36" s="217"/>
      <c r="S36" s="217"/>
      <c r="T36" s="214"/>
      <c r="U36" s="214"/>
      <c r="V36" s="214"/>
    </row>
    <row r="37" spans="1:22" s="108" customFormat="1" ht="12.75">
      <c r="A37" s="120"/>
      <c r="B37" s="226"/>
      <c r="C37" s="226"/>
      <c r="D37" s="221"/>
      <c r="E37" s="221"/>
      <c r="F37" s="215"/>
      <c r="G37" s="239"/>
      <c r="H37" s="117"/>
      <c r="I37" s="118"/>
      <c r="J37" s="118"/>
      <c r="K37" s="118"/>
      <c r="L37" s="119">
        <f t="shared" si="1"/>
        <v>0</v>
      </c>
      <c r="M37" s="215"/>
      <c r="N37" s="215"/>
      <c r="O37" s="215"/>
      <c r="P37" s="215"/>
      <c r="Q37" s="215"/>
      <c r="R37" s="218"/>
      <c r="S37" s="218"/>
      <c r="T37" s="215"/>
      <c r="U37" s="215"/>
      <c r="V37" s="215"/>
    </row>
    <row r="38" spans="1:22" s="108" customFormat="1" ht="12.75">
      <c r="A38" s="240" t="s">
        <v>193</v>
      </c>
      <c r="B38" s="224">
        <v>1</v>
      </c>
      <c r="C38" s="224">
        <v>1</v>
      </c>
      <c r="D38" s="219"/>
      <c r="E38" s="219"/>
      <c r="F38" s="213">
        <f>3+1+3+1+8.4</f>
        <v>16.4</v>
      </c>
      <c r="G38" s="237">
        <v>1.6</v>
      </c>
      <c r="H38" s="117" t="s">
        <v>181</v>
      </c>
      <c r="I38" s="118">
        <v>0.7</v>
      </c>
      <c r="J38" s="118">
        <v>2.1</v>
      </c>
      <c r="K38" s="118">
        <v>1</v>
      </c>
      <c r="L38" s="119">
        <f t="shared" si="1"/>
        <v>1.47</v>
      </c>
      <c r="M38" s="213">
        <v>0</v>
      </c>
      <c r="N38" s="213">
        <f>IF($C38&gt;1,(($F38*$G38)-($L38+$L39+$L40))*B38,0)</f>
        <v>0</v>
      </c>
      <c r="O38" s="213">
        <f>F38*1.4</f>
        <v>22.959999999999997</v>
      </c>
      <c r="P38" s="213">
        <v>0</v>
      </c>
      <c r="Q38" s="213">
        <f>IF($C38=1,(($F38*$G38)-($L38+$L39+$L40))*$B38,0)</f>
        <v>24.77</v>
      </c>
      <c r="R38" s="216">
        <v>0</v>
      </c>
      <c r="S38" s="216">
        <f>A40*B38</f>
        <v>25.200000000000003</v>
      </c>
      <c r="T38" s="213">
        <f>I39*J39*K39*2+I40*J40*K40*2</f>
        <v>0</v>
      </c>
      <c r="U38" s="213">
        <f>I38*J38*K38*3</f>
        <v>4.41</v>
      </c>
      <c r="V38" s="213">
        <v>0</v>
      </c>
    </row>
    <row r="39" spans="1:22" s="108" customFormat="1" ht="12.75">
      <c r="A39" s="241"/>
      <c r="B39" s="225"/>
      <c r="C39" s="225"/>
      <c r="D39" s="220"/>
      <c r="E39" s="220"/>
      <c r="F39" s="214"/>
      <c r="G39" s="238"/>
      <c r="H39" s="117"/>
      <c r="I39" s="118"/>
      <c r="J39" s="118"/>
      <c r="K39" s="118"/>
      <c r="L39" s="119">
        <f t="shared" si="1"/>
        <v>0</v>
      </c>
      <c r="M39" s="214"/>
      <c r="N39" s="214"/>
      <c r="O39" s="214"/>
      <c r="P39" s="214"/>
      <c r="Q39" s="214"/>
      <c r="R39" s="217"/>
      <c r="S39" s="217"/>
      <c r="T39" s="214"/>
      <c r="U39" s="214"/>
      <c r="V39" s="214"/>
    </row>
    <row r="40" spans="1:22" s="108" customFormat="1" ht="12.75">
      <c r="A40" s="120">
        <f>3*8.4</f>
        <v>25.200000000000003</v>
      </c>
      <c r="B40" s="226"/>
      <c r="C40" s="226"/>
      <c r="D40" s="221"/>
      <c r="E40" s="221"/>
      <c r="F40" s="215"/>
      <c r="G40" s="239"/>
      <c r="H40" s="117"/>
      <c r="I40" s="118"/>
      <c r="J40" s="118"/>
      <c r="K40" s="118"/>
      <c r="L40" s="119">
        <f t="shared" si="1"/>
        <v>0</v>
      </c>
      <c r="M40" s="215"/>
      <c r="N40" s="215"/>
      <c r="O40" s="215"/>
      <c r="P40" s="215"/>
      <c r="Q40" s="215"/>
      <c r="R40" s="218"/>
      <c r="S40" s="218"/>
      <c r="T40" s="215"/>
      <c r="U40" s="215"/>
      <c r="V40" s="215"/>
    </row>
    <row r="41" spans="1:22" s="108" customFormat="1" ht="12.75">
      <c r="A41" s="240" t="s">
        <v>194</v>
      </c>
      <c r="B41" s="224">
        <v>2</v>
      </c>
      <c r="C41" s="224">
        <v>1</v>
      </c>
      <c r="D41" s="219"/>
      <c r="E41" s="219"/>
      <c r="F41" s="213">
        <f>2+2+1.2</f>
        <v>5.2</v>
      </c>
      <c r="G41" s="237">
        <v>1.6</v>
      </c>
      <c r="H41" s="117" t="s">
        <v>181</v>
      </c>
      <c r="I41" s="118">
        <v>0.7</v>
      </c>
      <c r="J41" s="118">
        <v>2.1</v>
      </c>
      <c r="K41" s="118">
        <v>1</v>
      </c>
      <c r="L41" s="119">
        <f aca="true" t="shared" si="2" ref="L41:L47">I41*J41*K41</f>
        <v>1.47</v>
      </c>
      <c r="M41" s="213">
        <v>0</v>
      </c>
      <c r="N41" s="213">
        <f>IF($C41&gt;1,(($F41*$G41)-($L41+$L42+$L43))*B41,0)</f>
        <v>0</v>
      </c>
      <c r="O41" s="213">
        <f>5.2*1</f>
        <v>5.2</v>
      </c>
      <c r="P41" s="213">
        <v>0</v>
      </c>
      <c r="Q41" s="213">
        <f>IF($C41=1,(($F41*$G41)-($L41+$L42+$L43))*$B41,0)</f>
        <v>13.700000000000001</v>
      </c>
      <c r="R41" s="216">
        <v>0</v>
      </c>
      <c r="S41" s="216">
        <f>A43*B41</f>
        <v>4.8</v>
      </c>
      <c r="T41" s="213">
        <f>I42*J42*K42*2+I43*J43*K43*2</f>
        <v>0</v>
      </c>
      <c r="U41" s="213">
        <f>I41*J41*K41*3*B41</f>
        <v>8.82</v>
      </c>
      <c r="V41" s="213">
        <v>0</v>
      </c>
    </row>
    <row r="42" spans="1:22" s="108" customFormat="1" ht="12.75">
      <c r="A42" s="241"/>
      <c r="B42" s="225"/>
      <c r="C42" s="225"/>
      <c r="D42" s="220"/>
      <c r="E42" s="220"/>
      <c r="F42" s="214"/>
      <c r="G42" s="238"/>
      <c r="H42" s="117"/>
      <c r="I42" s="118"/>
      <c r="J42" s="118"/>
      <c r="K42" s="118"/>
      <c r="L42" s="119">
        <f t="shared" si="2"/>
        <v>0</v>
      </c>
      <c r="M42" s="214"/>
      <c r="N42" s="214"/>
      <c r="O42" s="214"/>
      <c r="P42" s="214"/>
      <c r="Q42" s="214"/>
      <c r="R42" s="217"/>
      <c r="S42" s="217"/>
      <c r="T42" s="214"/>
      <c r="U42" s="214"/>
      <c r="V42" s="214"/>
    </row>
    <row r="43" spans="1:22" s="108" customFormat="1" ht="12.75">
      <c r="A43" s="120">
        <f>1.2*2</f>
        <v>2.4</v>
      </c>
      <c r="B43" s="226"/>
      <c r="C43" s="226"/>
      <c r="D43" s="221"/>
      <c r="E43" s="221"/>
      <c r="F43" s="215"/>
      <c r="G43" s="239"/>
      <c r="H43" s="117"/>
      <c r="I43" s="118"/>
      <c r="J43" s="118"/>
      <c r="K43" s="118"/>
      <c r="L43" s="119">
        <f t="shared" si="2"/>
        <v>0</v>
      </c>
      <c r="M43" s="215"/>
      <c r="N43" s="215"/>
      <c r="O43" s="215"/>
      <c r="P43" s="215"/>
      <c r="Q43" s="215"/>
      <c r="R43" s="218"/>
      <c r="S43" s="218"/>
      <c r="T43" s="215"/>
      <c r="U43" s="215"/>
      <c r="V43" s="215"/>
    </row>
    <row r="44" spans="1:22" s="108" customFormat="1" ht="12.75">
      <c r="A44" s="240" t="s">
        <v>195</v>
      </c>
      <c r="B44" s="224">
        <v>1</v>
      </c>
      <c r="C44" s="224">
        <v>1</v>
      </c>
      <c r="D44" s="219"/>
      <c r="E44" s="219"/>
      <c r="F44" s="213"/>
      <c r="G44" s="237"/>
      <c r="H44" s="117" t="s">
        <v>181</v>
      </c>
      <c r="I44" s="118">
        <v>0.7</v>
      </c>
      <c r="J44" s="118">
        <v>2.1</v>
      </c>
      <c r="K44" s="118">
        <v>1</v>
      </c>
      <c r="L44" s="119">
        <f t="shared" si="2"/>
        <v>1.47</v>
      </c>
      <c r="M44" s="213">
        <v>0</v>
      </c>
      <c r="N44" s="213">
        <f>IF($C44&gt;1,(($F44*$G44)-($L44+$L45+$L46))*B44,0)</f>
        <v>0</v>
      </c>
      <c r="O44" s="213">
        <v>0</v>
      </c>
      <c r="P44" s="213">
        <v>0</v>
      </c>
      <c r="Q44" s="213">
        <v>0</v>
      </c>
      <c r="R44" s="216">
        <v>0</v>
      </c>
      <c r="S44" s="216">
        <f>A46*B44</f>
        <v>2.9699999999999998</v>
      </c>
      <c r="T44" s="213">
        <f>I45*J45*K45*B44*2</f>
        <v>1.9599999999999997</v>
      </c>
      <c r="U44" s="213">
        <f>I44*J44*K44*3*B44</f>
        <v>4.41</v>
      </c>
      <c r="V44" s="213">
        <v>0</v>
      </c>
    </row>
    <row r="45" spans="1:22" s="108" customFormat="1" ht="12.75">
      <c r="A45" s="241"/>
      <c r="B45" s="225"/>
      <c r="C45" s="225"/>
      <c r="D45" s="220"/>
      <c r="E45" s="220"/>
      <c r="F45" s="214"/>
      <c r="G45" s="238"/>
      <c r="H45" s="117" t="s">
        <v>197</v>
      </c>
      <c r="I45" s="118">
        <v>1.4</v>
      </c>
      <c r="J45" s="118">
        <v>0.7</v>
      </c>
      <c r="K45" s="118">
        <v>1</v>
      </c>
      <c r="L45" s="119">
        <f t="shared" si="2"/>
        <v>0.9799999999999999</v>
      </c>
      <c r="M45" s="214"/>
      <c r="N45" s="214"/>
      <c r="O45" s="214"/>
      <c r="P45" s="214"/>
      <c r="Q45" s="214"/>
      <c r="R45" s="217"/>
      <c r="S45" s="217"/>
      <c r="T45" s="214"/>
      <c r="U45" s="214"/>
      <c r="V45" s="214"/>
    </row>
    <row r="46" spans="1:22" s="108" customFormat="1" ht="12.75">
      <c r="A46" s="120">
        <f>1.65*1.8</f>
        <v>2.9699999999999998</v>
      </c>
      <c r="B46" s="226"/>
      <c r="C46" s="226"/>
      <c r="D46" s="221"/>
      <c r="E46" s="221"/>
      <c r="F46" s="215"/>
      <c r="G46" s="239"/>
      <c r="H46" s="117"/>
      <c r="I46" s="118"/>
      <c r="J46" s="118"/>
      <c r="K46" s="118"/>
      <c r="L46" s="119">
        <f t="shared" si="2"/>
        <v>0</v>
      </c>
      <c r="M46" s="215"/>
      <c r="N46" s="215"/>
      <c r="O46" s="215"/>
      <c r="P46" s="215"/>
      <c r="Q46" s="215"/>
      <c r="R46" s="218"/>
      <c r="S46" s="218"/>
      <c r="T46" s="215"/>
      <c r="U46" s="215"/>
      <c r="V46" s="215"/>
    </row>
    <row r="47" spans="1:22" s="108" customFormat="1" ht="12.75">
      <c r="A47" s="240" t="s">
        <v>196</v>
      </c>
      <c r="B47" s="224">
        <v>1</v>
      </c>
      <c r="C47" s="224">
        <v>1</v>
      </c>
      <c r="D47" s="219">
        <v>1.65</v>
      </c>
      <c r="E47" s="219">
        <v>1.8</v>
      </c>
      <c r="F47" s="213">
        <f>2*(E47+D47)</f>
        <v>6.9</v>
      </c>
      <c r="G47" s="237">
        <v>1.6</v>
      </c>
      <c r="H47" s="117" t="s">
        <v>181</v>
      </c>
      <c r="I47" s="118">
        <v>0.7</v>
      </c>
      <c r="J47" s="118">
        <v>2.1</v>
      </c>
      <c r="K47" s="118">
        <v>1</v>
      </c>
      <c r="L47" s="119">
        <f t="shared" si="2"/>
        <v>1.47</v>
      </c>
      <c r="M47" s="213">
        <v>0</v>
      </c>
      <c r="N47" s="213">
        <f>IF($C47&gt;1,(($F47*$G47)-($L47+$L48+$L49))*B47,0)</f>
        <v>0</v>
      </c>
      <c r="O47" s="213">
        <f>F47*1</f>
        <v>6.9</v>
      </c>
      <c r="P47" s="213">
        <v>0</v>
      </c>
      <c r="Q47" s="213">
        <f>IF($C47=1,(($F47*$G47)-($L47+$L48+$L49))*$B47,0)</f>
        <v>8.590000000000002</v>
      </c>
      <c r="R47" s="216">
        <v>0</v>
      </c>
      <c r="S47" s="216">
        <f>A49*B47</f>
        <v>2.9699999999999998</v>
      </c>
      <c r="T47" s="213">
        <f>I48*J48*K48*B47*2</f>
        <v>1.9599999999999997</v>
      </c>
      <c r="U47" s="213">
        <f>I47*J47*K47*3*B47</f>
        <v>4.41</v>
      </c>
      <c r="V47" s="213">
        <v>0</v>
      </c>
    </row>
    <row r="48" spans="1:22" s="108" customFormat="1" ht="12.75">
      <c r="A48" s="241"/>
      <c r="B48" s="225"/>
      <c r="C48" s="225"/>
      <c r="D48" s="220"/>
      <c r="E48" s="220"/>
      <c r="F48" s="214"/>
      <c r="G48" s="238"/>
      <c r="H48" s="117" t="s">
        <v>197</v>
      </c>
      <c r="I48" s="118">
        <v>1.4</v>
      </c>
      <c r="J48" s="118">
        <v>0.7</v>
      </c>
      <c r="K48" s="118">
        <v>1</v>
      </c>
      <c r="L48" s="119">
        <f aca="true" t="shared" si="3" ref="L48:L57">I48*J48*K48</f>
        <v>0.9799999999999999</v>
      </c>
      <c r="M48" s="214"/>
      <c r="N48" s="214"/>
      <c r="O48" s="214"/>
      <c r="P48" s="214"/>
      <c r="Q48" s="214"/>
      <c r="R48" s="217"/>
      <c r="S48" s="217"/>
      <c r="T48" s="214"/>
      <c r="U48" s="214"/>
      <c r="V48" s="214"/>
    </row>
    <row r="49" spans="1:22" s="108" customFormat="1" ht="12.75">
      <c r="A49" s="120">
        <f>1.65*1.8</f>
        <v>2.9699999999999998</v>
      </c>
      <c r="B49" s="226"/>
      <c r="C49" s="226"/>
      <c r="D49" s="221"/>
      <c r="E49" s="221"/>
      <c r="F49" s="215"/>
      <c r="G49" s="239"/>
      <c r="H49" s="117"/>
      <c r="I49" s="118"/>
      <c r="J49" s="118"/>
      <c r="K49" s="118"/>
      <c r="L49" s="119">
        <f t="shared" si="3"/>
        <v>0</v>
      </c>
      <c r="M49" s="215"/>
      <c r="N49" s="215"/>
      <c r="O49" s="215"/>
      <c r="P49" s="215"/>
      <c r="Q49" s="215"/>
      <c r="R49" s="218"/>
      <c r="S49" s="218"/>
      <c r="T49" s="215"/>
      <c r="U49" s="215"/>
      <c r="V49" s="215"/>
    </row>
    <row r="50" spans="1:22" s="108" customFormat="1" ht="12.75">
      <c r="A50" s="219" t="s">
        <v>198</v>
      </c>
      <c r="B50" s="224">
        <v>2</v>
      </c>
      <c r="C50" s="227">
        <v>1</v>
      </c>
      <c r="D50" s="219"/>
      <c r="E50" s="219"/>
      <c r="F50" s="213"/>
      <c r="G50" s="219"/>
      <c r="H50" s="117" t="s">
        <v>199</v>
      </c>
      <c r="I50" s="118">
        <v>0.8</v>
      </c>
      <c r="J50" s="118">
        <v>2.6</v>
      </c>
      <c r="K50" s="118">
        <v>1</v>
      </c>
      <c r="L50" s="119">
        <f t="shared" si="3"/>
        <v>2.08</v>
      </c>
      <c r="M50" s="213">
        <v>0</v>
      </c>
      <c r="N50" s="213">
        <f>IF($C50&gt;1,(($F50*$G50)-($L50+$L51+$L52+$L53+$L54))*B50,0)</f>
        <v>0</v>
      </c>
      <c r="O50" s="213">
        <v>0</v>
      </c>
      <c r="P50" s="213">
        <v>0</v>
      </c>
      <c r="Q50" s="213">
        <v>0</v>
      </c>
      <c r="R50" s="213">
        <v>0</v>
      </c>
      <c r="S50" s="213">
        <f>A54*B50</f>
        <v>83.64</v>
      </c>
      <c r="T50" s="213">
        <f>I50*J50*K50*B50*2+I52*J52*K52*B50*2+I53*J53*K53*B50*2+I54*J54*K54*2</f>
        <v>35.2</v>
      </c>
      <c r="U50" s="213">
        <f>I51*J51*K51*3*B50</f>
        <v>12.96</v>
      </c>
      <c r="V50" s="213">
        <f>O50</f>
        <v>0</v>
      </c>
    </row>
    <row r="51" spans="1:22" s="108" customFormat="1" ht="12.75">
      <c r="A51" s="220"/>
      <c r="B51" s="225"/>
      <c r="C51" s="228"/>
      <c r="D51" s="220"/>
      <c r="E51" s="220"/>
      <c r="F51" s="214"/>
      <c r="G51" s="220"/>
      <c r="H51" s="117" t="s">
        <v>180</v>
      </c>
      <c r="I51" s="118">
        <v>0.6</v>
      </c>
      <c r="J51" s="118">
        <v>1.8</v>
      </c>
      <c r="K51" s="118">
        <v>2</v>
      </c>
      <c r="L51" s="119">
        <f t="shared" si="3"/>
        <v>2.16</v>
      </c>
      <c r="M51" s="214"/>
      <c r="N51" s="214"/>
      <c r="O51" s="214"/>
      <c r="P51" s="214"/>
      <c r="Q51" s="214"/>
      <c r="R51" s="214"/>
      <c r="S51" s="214"/>
      <c r="T51" s="214"/>
      <c r="U51" s="214"/>
      <c r="V51" s="214"/>
    </row>
    <row r="52" spans="1:22" s="108" customFormat="1" ht="12.75">
      <c r="A52" s="220"/>
      <c r="B52" s="225"/>
      <c r="C52" s="228"/>
      <c r="D52" s="220"/>
      <c r="E52" s="220"/>
      <c r="F52" s="214"/>
      <c r="G52" s="220"/>
      <c r="H52" s="117" t="s">
        <v>171</v>
      </c>
      <c r="I52" s="118">
        <v>2.8</v>
      </c>
      <c r="J52" s="118">
        <v>0.7</v>
      </c>
      <c r="K52" s="118">
        <v>2</v>
      </c>
      <c r="L52" s="119">
        <f t="shared" si="3"/>
        <v>3.9199999999999995</v>
      </c>
      <c r="M52" s="214"/>
      <c r="N52" s="214"/>
      <c r="O52" s="214"/>
      <c r="P52" s="214"/>
      <c r="Q52" s="214"/>
      <c r="R52" s="214"/>
      <c r="S52" s="214"/>
      <c r="T52" s="214"/>
      <c r="U52" s="214"/>
      <c r="V52" s="214"/>
    </row>
    <row r="53" spans="1:22" s="108" customFormat="1" ht="12.75">
      <c r="A53" s="220"/>
      <c r="B53" s="225"/>
      <c r="C53" s="228"/>
      <c r="D53" s="220"/>
      <c r="E53" s="220"/>
      <c r="F53" s="214"/>
      <c r="G53" s="220"/>
      <c r="H53" s="117" t="s">
        <v>197</v>
      </c>
      <c r="I53" s="118">
        <v>1.4</v>
      </c>
      <c r="J53" s="118">
        <v>0.7</v>
      </c>
      <c r="K53" s="118">
        <v>2</v>
      </c>
      <c r="L53" s="119">
        <f t="shared" si="3"/>
        <v>1.9599999999999997</v>
      </c>
      <c r="M53" s="214"/>
      <c r="N53" s="214"/>
      <c r="O53" s="214"/>
      <c r="P53" s="214"/>
      <c r="Q53" s="214"/>
      <c r="R53" s="214"/>
      <c r="S53" s="214"/>
      <c r="T53" s="214"/>
      <c r="U53" s="214"/>
      <c r="V53" s="214"/>
    </row>
    <row r="54" spans="1:22" s="108" customFormat="1" ht="12.75">
      <c r="A54" s="120">
        <f>(2.8*4+3+6.1+6.1-3.4-3.4)*0.5*3+3*3+1.2*1.2+1.2*1.65</f>
        <v>41.82</v>
      </c>
      <c r="B54" s="226"/>
      <c r="C54" s="229"/>
      <c r="D54" s="221"/>
      <c r="E54" s="221"/>
      <c r="F54" s="215"/>
      <c r="G54" s="221"/>
      <c r="H54" s="117" t="s">
        <v>200</v>
      </c>
      <c r="I54" s="118">
        <v>0.8</v>
      </c>
      <c r="J54" s="118">
        <v>2.1</v>
      </c>
      <c r="K54" s="118">
        <v>1</v>
      </c>
      <c r="L54" s="119">
        <f t="shared" si="3"/>
        <v>1.6800000000000002</v>
      </c>
      <c r="M54" s="215"/>
      <c r="N54" s="215"/>
      <c r="O54" s="215"/>
      <c r="P54" s="215"/>
      <c r="Q54" s="215"/>
      <c r="R54" s="215"/>
      <c r="S54" s="215"/>
      <c r="T54" s="215"/>
      <c r="U54" s="215"/>
      <c r="V54" s="215"/>
    </row>
    <row r="55" spans="1:22" s="108" customFormat="1" ht="12.75">
      <c r="A55" s="222" t="s">
        <v>201</v>
      </c>
      <c r="B55" s="224">
        <v>1</v>
      </c>
      <c r="C55" s="227">
        <v>1</v>
      </c>
      <c r="D55" s="219"/>
      <c r="E55" s="219"/>
      <c r="F55" s="213">
        <f>((2.8*4+3)+3.3+3.3)*2.6+(2.8*4+3+0.7+0.7+3.3+3.3+2+2)*1</f>
        <v>80.28</v>
      </c>
      <c r="G55" s="219">
        <v>1</v>
      </c>
      <c r="H55" s="117"/>
      <c r="I55" s="118"/>
      <c r="J55" s="118"/>
      <c r="K55" s="118"/>
      <c r="L55" s="119">
        <f t="shared" si="3"/>
        <v>0</v>
      </c>
      <c r="M55" s="213">
        <v>0</v>
      </c>
      <c r="N55" s="213">
        <f>IF($C55&gt;1,(($F55*$G55)-($L55+$L56+$L57))*B55,0)</f>
        <v>0</v>
      </c>
      <c r="O55" s="213">
        <v>0</v>
      </c>
      <c r="P55" s="213">
        <v>0</v>
      </c>
      <c r="Q55" s="213">
        <v>0</v>
      </c>
      <c r="R55" s="216">
        <v>0</v>
      </c>
      <c r="S55" s="216">
        <f>A57</f>
        <v>35.81999999999999</v>
      </c>
      <c r="T55" s="213">
        <v>0</v>
      </c>
      <c r="U55" s="213">
        <v>0</v>
      </c>
      <c r="V55" s="213">
        <f>IF($C55=1,(($F55*$G55)-($L55+$L56+$L57))*$B55,0)</f>
        <v>80.28</v>
      </c>
    </row>
    <row r="56" spans="1:22" s="108" customFormat="1" ht="12.75">
      <c r="A56" s="223"/>
      <c r="B56" s="225"/>
      <c r="C56" s="228"/>
      <c r="D56" s="220"/>
      <c r="E56" s="220"/>
      <c r="F56" s="214"/>
      <c r="G56" s="220"/>
      <c r="H56" s="117"/>
      <c r="I56" s="118"/>
      <c r="J56" s="118"/>
      <c r="K56" s="118"/>
      <c r="L56" s="119">
        <f t="shared" si="3"/>
        <v>0</v>
      </c>
      <c r="M56" s="214"/>
      <c r="N56" s="214"/>
      <c r="O56" s="214"/>
      <c r="P56" s="214"/>
      <c r="Q56" s="214"/>
      <c r="R56" s="217"/>
      <c r="S56" s="217"/>
      <c r="T56" s="214"/>
      <c r="U56" s="214"/>
      <c r="V56" s="214"/>
    </row>
    <row r="57" spans="1:22" s="108" customFormat="1" ht="12.75">
      <c r="A57" s="120">
        <f>(2.8*4+3+0.7+0.7)*2+3.3*0.7*2</f>
        <v>35.81999999999999</v>
      </c>
      <c r="B57" s="226"/>
      <c r="C57" s="229"/>
      <c r="D57" s="221"/>
      <c r="E57" s="221"/>
      <c r="F57" s="215"/>
      <c r="G57" s="221"/>
      <c r="H57" s="117"/>
      <c r="I57" s="118"/>
      <c r="J57" s="118"/>
      <c r="K57" s="118"/>
      <c r="L57" s="119">
        <f t="shared" si="3"/>
        <v>0</v>
      </c>
      <c r="M57" s="215"/>
      <c r="N57" s="215"/>
      <c r="O57" s="215"/>
      <c r="P57" s="215"/>
      <c r="Q57" s="215"/>
      <c r="R57" s="218"/>
      <c r="S57" s="218"/>
      <c r="T57" s="215"/>
      <c r="U57" s="215"/>
      <c r="V57" s="215"/>
    </row>
    <row r="58" spans="1:22" s="108" customFormat="1" ht="12.75">
      <c r="A58" s="222" t="s">
        <v>202</v>
      </c>
      <c r="B58" s="224">
        <v>1</v>
      </c>
      <c r="C58" s="227">
        <v>1</v>
      </c>
      <c r="D58" s="219"/>
      <c r="E58" s="219"/>
      <c r="F58" s="213">
        <f>6.1+6.1</f>
        <v>12.2</v>
      </c>
      <c r="G58" s="219">
        <v>3.3</v>
      </c>
      <c r="H58" s="117"/>
      <c r="I58" s="118"/>
      <c r="J58" s="118"/>
      <c r="K58" s="118"/>
      <c r="L58" s="119">
        <f aca="true" t="shared" si="4" ref="L58:L79">I58*J58*K58</f>
        <v>0</v>
      </c>
      <c r="M58" s="213">
        <v>0</v>
      </c>
      <c r="N58" s="213">
        <f>IF($C58&gt;1,(($F58*$G58)-($L58+$L59+$L60))*B58,0)</f>
        <v>0</v>
      </c>
      <c r="O58" s="213">
        <v>0</v>
      </c>
      <c r="P58" s="213">
        <v>0</v>
      </c>
      <c r="Q58" s="213">
        <v>0</v>
      </c>
      <c r="R58" s="216">
        <v>0</v>
      </c>
      <c r="S58" s="216">
        <f>A60</f>
        <v>0</v>
      </c>
      <c r="T58" s="213">
        <v>0</v>
      </c>
      <c r="U58" s="213">
        <v>0</v>
      </c>
      <c r="V58" s="213">
        <f>IF($C58=1,(($F58*$G58)-($L58+$L59+$L60))*$B58,0)</f>
        <v>40.26</v>
      </c>
    </row>
    <row r="59" spans="1:22" s="108" customFormat="1" ht="12.75">
      <c r="A59" s="223"/>
      <c r="B59" s="225"/>
      <c r="C59" s="228"/>
      <c r="D59" s="220"/>
      <c r="E59" s="220"/>
      <c r="F59" s="214"/>
      <c r="G59" s="220"/>
      <c r="H59" s="117"/>
      <c r="I59" s="118"/>
      <c r="J59" s="118"/>
      <c r="K59" s="118"/>
      <c r="L59" s="119">
        <f t="shared" si="4"/>
        <v>0</v>
      </c>
      <c r="M59" s="214"/>
      <c r="N59" s="214"/>
      <c r="O59" s="214"/>
      <c r="P59" s="214"/>
      <c r="Q59" s="214"/>
      <c r="R59" s="217"/>
      <c r="S59" s="217"/>
      <c r="T59" s="214"/>
      <c r="U59" s="214"/>
      <c r="V59" s="214"/>
    </row>
    <row r="60" spans="1:22" s="108" customFormat="1" ht="12.75">
      <c r="A60" s="120"/>
      <c r="B60" s="226"/>
      <c r="C60" s="229"/>
      <c r="D60" s="221"/>
      <c r="E60" s="221"/>
      <c r="F60" s="215"/>
      <c r="G60" s="221"/>
      <c r="H60" s="117"/>
      <c r="I60" s="118"/>
      <c r="J60" s="118"/>
      <c r="K60" s="118"/>
      <c r="L60" s="119">
        <f t="shared" si="4"/>
        <v>0</v>
      </c>
      <c r="M60" s="215"/>
      <c r="N60" s="215"/>
      <c r="O60" s="215"/>
      <c r="P60" s="215"/>
      <c r="Q60" s="215"/>
      <c r="R60" s="218"/>
      <c r="S60" s="218"/>
      <c r="T60" s="215"/>
      <c r="U60" s="215"/>
      <c r="V60" s="215"/>
    </row>
    <row r="61" spans="1:22" s="108" customFormat="1" ht="12.75">
      <c r="A61" s="222" t="s">
        <v>203</v>
      </c>
      <c r="B61" s="224">
        <v>1</v>
      </c>
      <c r="C61" s="227">
        <v>1</v>
      </c>
      <c r="D61" s="219"/>
      <c r="E61" s="219"/>
      <c r="F61" s="213">
        <f>2.8*4+3</f>
        <v>14.2</v>
      </c>
      <c r="G61" s="219">
        <v>2.5</v>
      </c>
      <c r="H61" s="117"/>
      <c r="I61" s="118"/>
      <c r="J61" s="118"/>
      <c r="K61" s="118"/>
      <c r="L61" s="119">
        <f t="shared" si="4"/>
        <v>0</v>
      </c>
      <c r="M61" s="213">
        <v>0</v>
      </c>
      <c r="N61" s="213">
        <f>IF($C61&gt;1,(($F61*$G61)-($L61+$L62+$L63))*B61,0)</f>
        <v>0</v>
      </c>
      <c r="O61" s="213">
        <v>0</v>
      </c>
      <c r="P61" s="213">
        <v>0</v>
      </c>
      <c r="Q61" s="213">
        <v>0</v>
      </c>
      <c r="R61" s="216">
        <v>0</v>
      </c>
      <c r="S61" s="216">
        <f>A63</f>
        <v>0</v>
      </c>
      <c r="T61" s="213">
        <v>0</v>
      </c>
      <c r="U61" s="213">
        <v>0</v>
      </c>
      <c r="V61" s="213">
        <f>IF($C61=1,(($F61*$G61)-($L61+$L62+$L63))*$B61,0)</f>
        <v>35.5</v>
      </c>
    </row>
    <row r="62" spans="1:22" s="108" customFormat="1" ht="12.75">
      <c r="A62" s="223"/>
      <c r="B62" s="225"/>
      <c r="C62" s="228"/>
      <c r="D62" s="220"/>
      <c r="E62" s="220"/>
      <c r="F62" s="214"/>
      <c r="G62" s="220"/>
      <c r="H62" s="117"/>
      <c r="I62" s="118"/>
      <c r="J62" s="118"/>
      <c r="K62" s="118"/>
      <c r="L62" s="119">
        <f t="shared" si="4"/>
        <v>0</v>
      </c>
      <c r="M62" s="214"/>
      <c r="N62" s="214"/>
      <c r="O62" s="214"/>
      <c r="P62" s="214"/>
      <c r="Q62" s="214"/>
      <c r="R62" s="217"/>
      <c r="S62" s="217"/>
      <c r="T62" s="214"/>
      <c r="U62" s="214"/>
      <c r="V62" s="214"/>
    </row>
    <row r="63" spans="1:22" s="108" customFormat="1" ht="12.75">
      <c r="A63" s="120"/>
      <c r="B63" s="226"/>
      <c r="C63" s="229"/>
      <c r="D63" s="221"/>
      <c r="E63" s="221"/>
      <c r="F63" s="215"/>
      <c r="G63" s="221"/>
      <c r="H63" s="117"/>
      <c r="I63" s="118"/>
      <c r="J63" s="118"/>
      <c r="K63" s="118"/>
      <c r="L63" s="119">
        <f t="shared" si="4"/>
        <v>0</v>
      </c>
      <c r="M63" s="215"/>
      <c r="N63" s="215"/>
      <c r="O63" s="215"/>
      <c r="P63" s="215"/>
      <c r="Q63" s="215"/>
      <c r="R63" s="218"/>
      <c r="S63" s="218"/>
      <c r="T63" s="215"/>
      <c r="U63" s="215"/>
      <c r="V63" s="215"/>
    </row>
    <row r="64" spans="1:22" s="108" customFormat="1" ht="12.75">
      <c r="A64" s="222" t="s">
        <v>204</v>
      </c>
      <c r="B64" s="224">
        <v>2</v>
      </c>
      <c r="C64" s="227">
        <v>1</v>
      </c>
      <c r="D64" s="219"/>
      <c r="E64" s="219"/>
      <c r="F64" s="213">
        <f>33.3+2*0.4*4</f>
        <v>36.5</v>
      </c>
      <c r="G64" s="219">
        <v>3.3</v>
      </c>
      <c r="H64" s="117"/>
      <c r="I64" s="118"/>
      <c r="J64" s="118"/>
      <c r="K64" s="118"/>
      <c r="L64" s="119">
        <f t="shared" si="4"/>
        <v>0</v>
      </c>
      <c r="M64" s="213">
        <v>0</v>
      </c>
      <c r="N64" s="213">
        <f>IF($C64&gt;1,(($F64*$G64)-($L64+$L65+$L66))*B64,0)</f>
        <v>0</v>
      </c>
      <c r="O64" s="213">
        <v>0</v>
      </c>
      <c r="P64" s="213">
        <v>0</v>
      </c>
      <c r="Q64" s="213">
        <v>0</v>
      </c>
      <c r="R64" s="216">
        <v>0</v>
      </c>
      <c r="S64" s="216">
        <f>A66</f>
        <v>0</v>
      </c>
      <c r="T64" s="213">
        <v>0</v>
      </c>
      <c r="U64" s="213">
        <v>0</v>
      </c>
      <c r="V64" s="213">
        <f>IF($C64=1,(($F64*$G64)-($L64+$L65+$L66))*$B64,0)</f>
        <v>240.89999999999998</v>
      </c>
    </row>
    <row r="65" spans="1:22" s="108" customFormat="1" ht="12.75">
      <c r="A65" s="223"/>
      <c r="B65" s="225"/>
      <c r="C65" s="228"/>
      <c r="D65" s="220"/>
      <c r="E65" s="220"/>
      <c r="F65" s="214"/>
      <c r="G65" s="220"/>
      <c r="H65" s="117"/>
      <c r="I65" s="118"/>
      <c r="J65" s="118"/>
      <c r="K65" s="118"/>
      <c r="L65" s="119">
        <f t="shared" si="4"/>
        <v>0</v>
      </c>
      <c r="M65" s="214"/>
      <c r="N65" s="214"/>
      <c r="O65" s="214"/>
      <c r="P65" s="214"/>
      <c r="Q65" s="214"/>
      <c r="R65" s="217"/>
      <c r="S65" s="217"/>
      <c r="T65" s="214"/>
      <c r="U65" s="214"/>
      <c r="V65" s="214"/>
    </row>
    <row r="66" spans="1:22" s="108" customFormat="1" ht="12.75">
      <c r="A66" s="120"/>
      <c r="B66" s="226"/>
      <c r="C66" s="229"/>
      <c r="D66" s="221"/>
      <c r="E66" s="221"/>
      <c r="F66" s="215"/>
      <c r="G66" s="221"/>
      <c r="H66" s="117"/>
      <c r="I66" s="118"/>
      <c r="J66" s="118"/>
      <c r="K66" s="118"/>
      <c r="L66" s="119">
        <f t="shared" si="4"/>
        <v>0</v>
      </c>
      <c r="M66" s="215"/>
      <c r="N66" s="215"/>
      <c r="O66" s="215"/>
      <c r="P66" s="215"/>
      <c r="Q66" s="215"/>
      <c r="R66" s="218"/>
      <c r="S66" s="218"/>
      <c r="T66" s="215"/>
      <c r="U66" s="215"/>
      <c r="V66" s="215"/>
    </row>
    <row r="67" spans="1:22" s="108" customFormat="1" ht="12.75">
      <c r="A67" s="222" t="s">
        <v>205</v>
      </c>
      <c r="B67" s="224">
        <v>1</v>
      </c>
      <c r="C67" s="227">
        <v>1</v>
      </c>
      <c r="D67" s="219"/>
      <c r="E67" s="219"/>
      <c r="F67" s="230">
        <f>(6+(4*2.8+4*1.4+2*0.8)+6)*2.6+(6+1+4*2.8+4*1.4+2*0.8+2*0.7+6+1)*1</f>
        <v>112.83999999999999</v>
      </c>
      <c r="G67" s="219">
        <v>1</v>
      </c>
      <c r="H67" s="117"/>
      <c r="I67" s="118"/>
      <c r="J67" s="118"/>
      <c r="K67" s="118"/>
      <c r="L67" s="119">
        <f t="shared" si="4"/>
        <v>0</v>
      </c>
      <c r="M67" s="213">
        <v>0</v>
      </c>
      <c r="N67" s="213">
        <f>IF($C67&gt;1,(($F67*$G67)-($L67+$L68+$L69))*B67,0)</f>
        <v>0</v>
      </c>
      <c r="O67" s="213">
        <v>0</v>
      </c>
      <c r="P67" s="213">
        <v>0</v>
      </c>
      <c r="Q67" s="213">
        <v>0</v>
      </c>
      <c r="R67" s="216">
        <v>0</v>
      </c>
      <c r="S67" s="216">
        <f>A69</f>
        <v>28.199999999999996</v>
      </c>
      <c r="T67" s="213">
        <v>0</v>
      </c>
      <c r="U67" s="213">
        <v>0</v>
      </c>
      <c r="V67" s="213">
        <f>IF($C67=1,(($F67*$G67)-($L67+$L68+$L69))*$B67,0)</f>
        <v>112.83999999999999</v>
      </c>
    </row>
    <row r="68" spans="1:22" s="108" customFormat="1" ht="12.75">
      <c r="A68" s="223"/>
      <c r="B68" s="225"/>
      <c r="C68" s="228"/>
      <c r="D68" s="220"/>
      <c r="E68" s="220"/>
      <c r="F68" s="231"/>
      <c r="G68" s="220"/>
      <c r="H68" s="117"/>
      <c r="I68" s="118"/>
      <c r="J68" s="118"/>
      <c r="K68" s="118"/>
      <c r="L68" s="119">
        <f t="shared" si="4"/>
        <v>0</v>
      </c>
      <c r="M68" s="214"/>
      <c r="N68" s="214"/>
      <c r="O68" s="214"/>
      <c r="P68" s="214"/>
      <c r="Q68" s="214"/>
      <c r="R68" s="217"/>
      <c r="S68" s="217"/>
      <c r="T68" s="214"/>
      <c r="U68" s="214"/>
      <c r="V68" s="214"/>
    </row>
    <row r="69" spans="1:22" s="108" customFormat="1" ht="12.75">
      <c r="A69" s="120">
        <f>6*0.7*2+(4*2.8+4*1.4+2*0.8+2*0.7)*1</f>
        <v>28.199999999999996</v>
      </c>
      <c r="B69" s="226"/>
      <c r="C69" s="229"/>
      <c r="D69" s="221"/>
      <c r="E69" s="221"/>
      <c r="F69" s="232"/>
      <c r="G69" s="221"/>
      <c r="H69" s="117"/>
      <c r="I69" s="118"/>
      <c r="J69" s="118"/>
      <c r="K69" s="118"/>
      <c r="L69" s="119">
        <f t="shared" si="4"/>
        <v>0</v>
      </c>
      <c r="M69" s="215"/>
      <c r="N69" s="215"/>
      <c r="O69" s="215"/>
      <c r="P69" s="215"/>
      <c r="Q69" s="215"/>
      <c r="R69" s="218"/>
      <c r="S69" s="218"/>
      <c r="T69" s="215"/>
      <c r="U69" s="215"/>
      <c r="V69" s="215"/>
    </row>
    <row r="70" spans="1:22" s="108" customFormat="1" ht="12.75">
      <c r="A70" s="222" t="s">
        <v>206</v>
      </c>
      <c r="B70" s="224">
        <v>1</v>
      </c>
      <c r="C70" s="227">
        <v>1</v>
      </c>
      <c r="D70" s="219"/>
      <c r="E70" s="219"/>
      <c r="F70" s="216">
        <f>3.4+3.4</f>
        <v>6.8</v>
      </c>
      <c r="G70" s="219">
        <v>3.3</v>
      </c>
      <c r="H70" s="117"/>
      <c r="I70" s="118"/>
      <c r="J70" s="118"/>
      <c r="K70" s="118"/>
      <c r="L70" s="119">
        <f t="shared" si="4"/>
        <v>0</v>
      </c>
      <c r="M70" s="213">
        <v>0</v>
      </c>
      <c r="N70" s="213">
        <f>IF($C70&gt;1,(($F70*$G70)-($L70+$L71+$L72))*B70,0)</f>
        <v>0</v>
      </c>
      <c r="O70" s="213">
        <v>0</v>
      </c>
      <c r="P70" s="213">
        <v>0</v>
      </c>
      <c r="Q70" s="213">
        <v>0</v>
      </c>
      <c r="R70" s="216">
        <v>0</v>
      </c>
      <c r="S70" s="216">
        <f>A72</f>
        <v>0</v>
      </c>
      <c r="T70" s="213">
        <v>0</v>
      </c>
      <c r="U70" s="213">
        <v>0</v>
      </c>
      <c r="V70" s="213">
        <f>IF($C70=1,(($F70*$G70)-($L70+$L71+$L72))*$B70,0)</f>
        <v>22.439999999999998</v>
      </c>
    </row>
    <row r="71" spans="1:22" s="108" customFormat="1" ht="12.75">
      <c r="A71" s="223"/>
      <c r="B71" s="225"/>
      <c r="C71" s="228"/>
      <c r="D71" s="220"/>
      <c r="E71" s="220"/>
      <c r="F71" s="217"/>
      <c r="G71" s="220"/>
      <c r="H71" s="117"/>
      <c r="I71" s="118"/>
      <c r="J71" s="118"/>
      <c r="K71" s="118"/>
      <c r="L71" s="119">
        <f t="shared" si="4"/>
        <v>0</v>
      </c>
      <c r="M71" s="214"/>
      <c r="N71" s="214"/>
      <c r="O71" s="214"/>
      <c r="P71" s="214"/>
      <c r="Q71" s="214"/>
      <c r="R71" s="217"/>
      <c r="S71" s="217"/>
      <c r="T71" s="214"/>
      <c r="U71" s="214"/>
      <c r="V71" s="214"/>
    </row>
    <row r="72" spans="1:22" s="108" customFormat="1" ht="12.75">
      <c r="A72" s="120"/>
      <c r="B72" s="226"/>
      <c r="C72" s="229"/>
      <c r="D72" s="221"/>
      <c r="E72" s="221"/>
      <c r="F72" s="218"/>
      <c r="G72" s="221"/>
      <c r="H72" s="117"/>
      <c r="I72" s="118"/>
      <c r="J72" s="118"/>
      <c r="K72" s="118"/>
      <c r="L72" s="119">
        <f t="shared" si="4"/>
        <v>0</v>
      </c>
      <c r="M72" s="215"/>
      <c r="N72" s="215"/>
      <c r="O72" s="215"/>
      <c r="P72" s="215"/>
      <c r="Q72" s="215"/>
      <c r="R72" s="218"/>
      <c r="S72" s="218"/>
      <c r="T72" s="215"/>
      <c r="U72" s="215"/>
      <c r="V72" s="215"/>
    </row>
    <row r="73" spans="1:22" s="108" customFormat="1" ht="12.75">
      <c r="A73" s="222" t="s">
        <v>207</v>
      </c>
      <c r="B73" s="224">
        <v>1</v>
      </c>
      <c r="C73" s="227">
        <v>1</v>
      </c>
      <c r="D73" s="219"/>
      <c r="E73" s="219"/>
      <c r="F73" s="216">
        <v>14.2</v>
      </c>
      <c r="G73" s="219">
        <v>2.5</v>
      </c>
      <c r="H73" s="117"/>
      <c r="I73" s="118"/>
      <c r="J73" s="118"/>
      <c r="K73" s="118"/>
      <c r="L73" s="119">
        <f t="shared" si="4"/>
        <v>0</v>
      </c>
      <c r="M73" s="213">
        <v>0</v>
      </c>
      <c r="N73" s="213">
        <f>IF($C73&gt;1,(($F73*$G73)-($L73+$L74+$L75))*B73,0)</f>
        <v>0</v>
      </c>
      <c r="O73" s="213">
        <v>0</v>
      </c>
      <c r="P73" s="213">
        <v>0</v>
      </c>
      <c r="Q73" s="213">
        <v>0</v>
      </c>
      <c r="R73" s="216">
        <v>0</v>
      </c>
      <c r="S73" s="216">
        <f>A75</f>
        <v>0</v>
      </c>
      <c r="T73" s="213">
        <v>0</v>
      </c>
      <c r="U73" s="213">
        <v>0</v>
      </c>
      <c r="V73" s="213">
        <f>IF($C73=1,(($F73*$G73)-($L73+$L74+$L75))*$B73,0)</f>
        <v>35.5</v>
      </c>
    </row>
    <row r="74" spans="1:22" s="108" customFormat="1" ht="12.75">
      <c r="A74" s="223"/>
      <c r="B74" s="225"/>
      <c r="C74" s="228"/>
      <c r="D74" s="220"/>
      <c r="E74" s="220"/>
      <c r="F74" s="217"/>
      <c r="G74" s="220"/>
      <c r="H74" s="117"/>
      <c r="I74" s="118"/>
      <c r="J74" s="118"/>
      <c r="K74" s="118"/>
      <c r="L74" s="119">
        <f t="shared" si="4"/>
        <v>0</v>
      </c>
      <c r="M74" s="214"/>
      <c r="N74" s="214"/>
      <c r="O74" s="214"/>
      <c r="P74" s="214"/>
      <c r="Q74" s="214"/>
      <c r="R74" s="217"/>
      <c r="S74" s="217"/>
      <c r="T74" s="214"/>
      <c r="U74" s="214"/>
      <c r="V74" s="214"/>
    </row>
    <row r="75" spans="1:22" s="108" customFormat="1" ht="12.75">
      <c r="A75" s="120"/>
      <c r="B75" s="226"/>
      <c r="C75" s="229"/>
      <c r="D75" s="221"/>
      <c r="E75" s="221"/>
      <c r="F75" s="218"/>
      <c r="G75" s="221"/>
      <c r="H75" s="117"/>
      <c r="I75" s="118"/>
      <c r="J75" s="118"/>
      <c r="K75" s="118"/>
      <c r="L75" s="119">
        <f t="shared" si="4"/>
        <v>0</v>
      </c>
      <c r="M75" s="215"/>
      <c r="N75" s="215"/>
      <c r="O75" s="215"/>
      <c r="P75" s="215"/>
      <c r="Q75" s="215"/>
      <c r="R75" s="218"/>
      <c r="S75" s="218"/>
      <c r="T75" s="215"/>
      <c r="U75" s="215"/>
      <c r="V75" s="215"/>
    </row>
    <row r="76" spans="1:22" s="108" customFormat="1" ht="12.75" customHeight="1">
      <c r="A76" s="222" t="s">
        <v>208</v>
      </c>
      <c r="B76" s="224">
        <v>1</v>
      </c>
      <c r="C76" s="224">
        <v>1</v>
      </c>
      <c r="D76" s="219"/>
      <c r="E76" s="219"/>
      <c r="F76" s="213">
        <f>3.1416*1*4.5+3.1416*1.5*3</f>
        <v>28.2744</v>
      </c>
      <c r="G76" s="219">
        <v>1</v>
      </c>
      <c r="H76" s="121"/>
      <c r="I76" s="122"/>
      <c r="J76" s="122"/>
      <c r="K76" s="122"/>
      <c r="L76" s="119">
        <f t="shared" si="4"/>
        <v>0</v>
      </c>
      <c r="M76" s="213">
        <v>0</v>
      </c>
      <c r="N76" s="213">
        <f>IF($C76&gt;1,(($F76*$G76)-($L76+$L77+$L78+$L79))*B76,0)</f>
        <v>0</v>
      </c>
      <c r="O76" s="213">
        <v>0</v>
      </c>
      <c r="P76" s="213">
        <v>0</v>
      </c>
      <c r="Q76" s="213">
        <v>0</v>
      </c>
      <c r="R76" s="213">
        <f>A79</f>
        <v>0</v>
      </c>
      <c r="S76" s="213">
        <f>A79</f>
        <v>0</v>
      </c>
      <c r="T76" s="213">
        <f>F76*G76</f>
        <v>28.2744</v>
      </c>
      <c r="U76" s="213">
        <v>0</v>
      </c>
      <c r="V76" s="213">
        <v>0</v>
      </c>
    </row>
    <row r="77" spans="1:22" s="108" customFormat="1" ht="12.75">
      <c r="A77" s="223"/>
      <c r="B77" s="225"/>
      <c r="C77" s="225"/>
      <c r="D77" s="220"/>
      <c r="E77" s="220"/>
      <c r="F77" s="214"/>
      <c r="G77" s="220"/>
      <c r="H77" s="117"/>
      <c r="I77" s="118"/>
      <c r="J77" s="118"/>
      <c r="K77" s="118"/>
      <c r="L77" s="119">
        <f t="shared" si="4"/>
        <v>0</v>
      </c>
      <c r="M77" s="214"/>
      <c r="N77" s="214"/>
      <c r="O77" s="214"/>
      <c r="P77" s="214"/>
      <c r="Q77" s="214"/>
      <c r="R77" s="214"/>
      <c r="S77" s="214"/>
      <c r="T77" s="214"/>
      <c r="U77" s="214"/>
      <c r="V77" s="214"/>
    </row>
    <row r="78" spans="1:22" s="108" customFormat="1" ht="12.75">
      <c r="A78" s="223"/>
      <c r="B78" s="225"/>
      <c r="C78" s="225"/>
      <c r="D78" s="220"/>
      <c r="E78" s="220"/>
      <c r="F78" s="214"/>
      <c r="G78" s="220"/>
      <c r="H78" s="117"/>
      <c r="I78" s="118"/>
      <c r="J78" s="118"/>
      <c r="K78" s="118"/>
      <c r="L78" s="119">
        <f t="shared" si="4"/>
        <v>0</v>
      </c>
      <c r="M78" s="214"/>
      <c r="N78" s="214"/>
      <c r="O78" s="214"/>
      <c r="P78" s="214"/>
      <c r="Q78" s="214"/>
      <c r="R78" s="214"/>
      <c r="S78" s="214"/>
      <c r="T78" s="214"/>
      <c r="U78" s="214"/>
      <c r="V78" s="214"/>
    </row>
    <row r="79" spans="1:22" s="108" customFormat="1" ht="12.75">
      <c r="A79" s="120"/>
      <c r="B79" s="226"/>
      <c r="C79" s="226"/>
      <c r="D79" s="221"/>
      <c r="E79" s="221"/>
      <c r="F79" s="215"/>
      <c r="G79" s="221"/>
      <c r="H79" s="117"/>
      <c r="I79" s="118"/>
      <c r="J79" s="118"/>
      <c r="K79" s="118"/>
      <c r="L79" s="119">
        <f t="shared" si="4"/>
        <v>0</v>
      </c>
      <c r="M79" s="215"/>
      <c r="N79" s="215"/>
      <c r="O79" s="215"/>
      <c r="P79" s="215"/>
      <c r="Q79" s="215"/>
      <c r="R79" s="215"/>
      <c r="S79" s="215"/>
      <c r="T79" s="215"/>
      <c r="U79" s="215"/>
      <c r="V79" s="215"/>
    </row>
    <row r="80" spans="2:23" s="108" customFormat="1" ht="16.5" customHeight="1">
      <c r="B80" s="123"/>
      <c r="C80" s="123"/>
      <c r="H80" s="124"/>
      <c r="I80" s="125"/>
      <c r="J80" s="126"/>
      <c r="K80" s="126"/>
      <c r="L80" s="125"/>
      <c r="M80" s="127">
        <f>SUM(M8:M79)</f>
        <v>0</v>
      </c>
      <c r="N80" s="128">
        <f>SUM(N8:N79)</f>
        <v>0</v>
      </c>
      <c r="O80" s="127">
        <f aca="true" t="shared" si="5" ref="O80:V80">SUM(O8:O79)</f>
        <v>105.9</v>
      </c>
      <c r="P80" s="128">
        <f t="shared" si="5"/>
        <v>0</v>
      </c>
      <c r="Q80" s="128">
        <f t="shared" si="5"/>
        <v>340.00999999999993</v>
      </c>
      <c r="R80" s="128">
        <f t="shared" si="5"/>
        <v>426.24</v>
      </c>
      <c r="S80" s="128">
        <f t="shared" si="5"/>
        <v>232.17999999999998</v>
      </c>
      <c r="T80" s="128">
        <f t="shared" si="5"/>
        <v>132.3544</v>
      </c>
      <c r="U80" s="128">
        <f t="shared" si="5"/>
        <v>62.46</v>
      </c>
      <c r="V80" s="128">
        <f t="shared" si="5"/>
        <v>567.7199999999999</v>
      </c>
      <c r="W80" s="129"/>
    </row>
    <row r="81" spans="2:23" s="108" customFormat="1" ht="12.75">
      <c r="B81" s="123"/>
      <c r="C81" s="123"/>
      <c r="H81" s="124"/>
      <c r="I81" s="126"/>
      <c r="J81" s="126"/>
      <c r="K81" s="126"/>
      <c r="L81" s="129"/>
      <c r="M81" s="129"/>
      <c r="N81" s="129"/>
      <c r="O81" s="129"/>
      <c r="P81" s="129"/>
      <c r="Q81" s="129"/>
      <c r="R81" s="125"/>
      <c r="S81" s="129"/>
      <c r="T81" s="129"/>
      <c r="U81" s="129"/>
      <c r="V81" s="129"/>
      <c r="W81" s="129"/>
    </row>
    <row r="82" spans="2:23" s="108" customFormat="1" ht="12.75">
      <c r="B82" s="123"/>
      <c r="C82" s="123"/>
      <c r="H82" s="124"/>
      <c r="I82" s="126"/>
      <c r="J82" s="126"/>
      <c r="K82" s="126"/>
      <c r="L82" s="129"/>
      <c r="M82" s="128">
        <f>M80-M81</f>
        <v>0</v>
      </c>
      <c r="N82" s="129"/>
      <c r="O82" s="128">
        <f>O80-O81</f>
        <v>105.9</v>
      </c>
      <c r="P82" s="129"/>
      <c r="Q82" s="129"/>
      <c r="R82" s="125"/>
      <c r="S82" s="129"/>
      <c r="T82" s="129"/>
      <c r="U82" s="129"/>
      <c r="V82" s="129"/>
      <c r="W82" s="129"/>
    </row>
    <row r="83" spans="2:22" s="108" customFormat="1" ht="12.75">
      <c r="B83" s="123"/>
      <c r="C83" s="123"/>
      <c r="D83" s="130"/>
      <c r="H83" s="131"/>
      <c r="I83" s="126"/>
      <c r="J83" s="126"/>
      <c r="K83" s="126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</row>
    <row r="84" spans="2:22" s="108" customFormat="1" ht="12.75">
      <c r="B84" s="123"/>
      <c r="C84" s="123"/>
      <c r="D84" s="130"/>
      <c r="H84" s="131"/>
      <c r="I84" s="126"/>
      <c r="J84" s="126"/>
      <c r="K84" s="126"/>
      <c r="L84" s="129"/>
      <c r="M84" s="129"/>
      <c r="N84" s="125">
        <f>O82+N80</f>
        <v>105.9</v>
      </c>
      <c r="O84" s="125"/>
      <c r="P84" s="125"/>
      <c r="Q84" s="125"/>
      <c r="R84" s="129"/>
      <c r="S84" s="129"/>
      <c r="T84" s="129"/>
      <c r="U84" s="129"/>
      <c r="V84" s="129"/>
    </row>
    <row r="85" spans="13:25" ht="12.75"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</row>
    <row r="86" spans="13:25" ht="12.75"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</row>
    <row r="87" spans="13:25" ht="12.75"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</row>
    <row r="88" spans="13:25" ht="12.75"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</row>
    <row r="89" spans="13:25" ht="12.75"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</row>
    <row r="90" spans="13:25" ht="12.75"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</row>
    <row r="91" spans="13:25" ht="12.75"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</row>
    <row r="92" spans="13:25" ht="12.75"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</row>
    <row r="93" spans="13:25" ht="12.75"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</row>
    <row r="94" spans="13:25" ht="12.75"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</row>
    <row r="95" spans="13:25" ht="12.75"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</row>
    <row r="96" spans="13:25" ht="12.75"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</row>
    <row r="97" spans="13:25" ht="12.75"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</row>
    <row r="98" spans="13:25" ht="12.75"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</row>
    <row r="99" spans="13:25" ht="12.75"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</row>
    <row r="100" spans="13:25" ht="12.75"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</row>
  </sheetData>
  <sheetProtection/>
  <mergeCells count="414">
    <mergeCell ref="T5:V5"/>
    <mergeCell ref="R5:S5"/>
    <mergeCell ref="A20:A21"/>
    <mergeCell ref="B20:B22"/>
    <mergeCell ref="C20:C22"/>
    <mergeCell ref="D20:D22"/>
    <mergeCell ref="E20:E22"/>
    <mergeCell ref="F20:F22"/>
    <mergeCell ref="G20:G22"/>
    <mergeCell ref="M20:M22"/>
    <mergeCell ref="U20:U22"/>
    <mergeCell ref="N20:N22"/>
    <mergeCell ref="O20:O22"/>
    <mergeCell ref="P20:P22"/>
    <mergeCell ref="Q20:Q22"/>
    <mergeCell ref="A23:A24"/>
    <mergeCell ref="B23:B25"/>
    <mergeCell ref="C23:C25"/>
    <mergeCell ref="D23:D25"/>
    <mergeCell ref="E76:E79"/>
    <mergeCell ref="F76:F79"/>
    <mergeCell ref="G76:G79"/>
    <mergeCell ref="V20:V22"/>
    <mergeCell ref="E23:E25"/>
    <mergeCell ref="F23:F25"/>
    <mergeCell ref="G23:G25"/>
    <mergeCell ref="M23:M25"/>
    <mergeCell ref="N23:N25"/>
    <mergeCell ref="R20:R22"/>
    <mergeCell ref="A76:A78"/>
    <mergeCell ref="B76:B79"/>
    <mergeCell ref="C76:C79"/>
    <mergeCell ref="D76:D79"/>
    <mergeCell ref="Q61:Q63"/>
    <mergeCell ref="T47:T49"/>
    <mergeCell ref="Q55:Q57"/>
    <mergeCell ref="Q47:Q49"/>
    <mergeCell ref="S47:S49"/>
    <mergeCell ref="Q50:Q54"/>
    <mergeCell ref="S50:S54"/>
    <mergeCell ref="R55:R57"/>
    <mergeCell ref="R61:R63"/>
    <mergeCell ref="R50:R54"/>
    <mergeCell ref="U47:U49"/>
    <mergeCell ref="V47:V49"/>
    <mergeCell ref="T61:T63"/>
    <mergeCell ref="U61:U63"/>
    <mergeCell ref="V61:V63"/>
    <mergeCell ref="V58:V60"/>
    <mergeCell ref="V50:V54"/>
    <mergeCell ref="T50:T54"/>
    <mergeCell ref="U50:U54"/>
    <mergeCell ref="U55:U57"/>
    <mergeCell ref="O44:O46"/>
    <mergeCell ref="P44:P46"/>
    <mergeCell ref="Q44:Q46"/>
    <mergeCell ref="E61:E63"/>
    <mergeCell ref="F61:F63"/>
    <mergeCell ref="G61:G63"/>
    <mergeCell ref="P47:P49"/>
    <mergeCell ref="F44:F46"/>
    <mergeCell ref="G44:G46"/>
    <mergeCell ref="M44:M46"/>
    <mergeCell ref="R29:R31"/>
    <mergeCell ref="Q26:Q28"/>
    <mergeCell ref="R26:R28"/>
    <mergeCell ref="O29:O31"/>
    <mergeCell ref="P29:P31"/>
    <mergeCell ref="F26:F28"/>
    <mergeCell ref="G26:G28"/>
    <mergeCell ref="M26:M28"/>
    <mergeCell ref="N26:N28"/>
    <mergeCell ref="A61:A62"/>
    <mergeCell ref="B61:B63"/>
    <mergeCell ref="C61:C63"/>
    <mergeCell ref="D61:D63"/>
    <mergeCell ref="V44:V46"/>
    <mergeCell ref="C47:C49"/>
    <mergeCell ref="D47:D49"/>
    <mergeCell ref="E47:E49"/>
    <mergeCell ref="F47:F49"/>
    <mergeCell ref="G47:G49"/>
    <mergeCell ref="M47:M49"/>
    <mergeCell ref="N47:N49"/>
    <mergeCell ref="U44:U46"/>
    <mergeCell ref="O47:O49"/>
    <mergeCell ref="U1:U2"/>
    <mergeCell ref="M6:M7"/>
    <mergeCell ref="T6:T7"/>
    <mergeCell ref="B6:B7"/>
    <mergeCell ref="J1:J3"/>
    <mergeCell ref="C6:C7"/>
    <mergeCell ref="G6:G7"/>
    <mergeCell ref="D6:D7"/>
    <mergeCell ref="E6:E7"/>
    <mergeCell ref="F6:F7"/>
    <mergeCell ref="V23:V25"/>
    <mergeCell ref="P26:P28"/>
    <mergeCell ref="U26:U28"/>
    <mergeCell ref="V26:V28"/>
    <mergeCell ref="U23:U25"/>
    <mergeCell ref="R23:R25"/>
    <mergeCell ref="S23:S25"/>
    <mergeCell ref="T23:T25"/>
    <mergeCell ref="D44:D46"/>
    <mergeCell ref="Q35:Q37"/>
    <mergeCell ref="O14:O16"/>
    <mergeCell ref="P14:P16"/>
    <mergeCell ref="Q14:Q16"/>
    <mergeCell ref="O23:O25"/>
    <mergeCell ref="P23:P25"/>
    <mergeCell ref="Q23:Q25"/>
    <mergeCell ref="O26:O28"/>
    <mergeCell ref="Q29:Q31"/>
    <mergeCell ref="B47:B49"/>
    <mergeCell ref="A44:A45"/>
    <mergeCell ref="B44:B46"/>
    <mergeCell ref="C44:C46"/>
    <mergeCell ref="E29:E31"/>
    <mergeCell ref="E8:E10"/>
    <mergeCell ref="E26:E28"/>
    <mergeCell ref="C17:C19"/>
    <mergeCell ref="D17:D19"/>
    <mergeCell ref="E11:E13"/>
    <mergeCell ref="C11:C13"/>
    <mergeCell ref="U8:U10"/>
    <mergeCell ref="D8:D10"/>
    <mergeCell ref="B26:B28"/>
    <mergeCell ref="C26:C28"/>
    <mergeCell ref="D26:D28"/>
    <mergeCell ref="G8:G10"/>
    <mergeCell ref="S8:S10"/>
    <mergeCell ref="R8:R10"/>
    <mergeCell ref="R11:R13"/>
    <mergeCell ref="N14:N16"/>
    <mergeCell ref="V8:V10"/>
    <mergeCell ref="T8:T10"/>
    <mergeCell ref="U14:U16"/>
    <mergeCell ref="T29:T31"/>
    <mergeCell ref="U29:U31"/>
    <mergeCell ref="V29:V31"/>
    <mergeCell ref="V14:V16"/>
    <mergeCell ref="T17:T19"/>
    <mergeCell ref="U17:U19"/>
    <mergeCell ref="V17:V19"/>
    <mergeCell ref="F8:F10"/>
    <mergeCell ref="T32:T34"/>
    <mergeCell ref="U32:U34"/>
    <mergeCell ref="A8:A9"/>
    <mergeCell ref="B8:B10"/>
    <mergeCell ref="C8:C10"/>
    <mergeCell ref="P8:P10"/>
    <mergeCell ref="Q8:Q10"/>
    <mergeCell ref="A26:A27"/>
    <mergeCell ref="A29:A30"/>
    <mergeCell ref="E55:E57"/>
    <mergeCell ref="F55:F57"/>
    <mergeCell ref="G55:G57"/>
    <mergeCell ref="E50:E54"/>
    <mergeCell ref="F50:F54"/>
    <mergeCell ref="G50:G54"/>
    <mergeCell ref="A55:A56"/>
    <mergeCell ref="B55:B57"/>
    <mergeCell ref="C55:C57"/>
    <mergeCell ref="D55:D57"/>
    <mergeCell ref="Q32:Q34"/>
    <mergeCell ref="O35:O37"/>
    <mergeCell ref="P35:P37"/>
    <mergeCell ref="A50:A53"/>
    <mergeCell ref="B50:B54"/>
    <mergeCell ref="C50:C54"/>
    <mergeCell ref="D50:D54"/>
    <mergeCell ref="N44:N46"/>
    <mergeCell ref="E44:E46"/>
    <mergeCell ref="A47:A48"/>
    <mergeCell ref="F29:F31"/>
    <mergeCell ref="G29:G31"/>
    <mergeCell ref="M29:M31"/>
    <mergeCell ref="N29:N31"/>
    <mergeCell ref="A32:A33"/>
    <mergeCell ref="B32:B34"/>
    <mergeCell ref="C32:C34"/>
    <mergeCell ref="D32:D34"/>
    <mergeCell ref="V55:V57"/>
    <mergeCell ref="M17:M19"/>
    <mergeCell ref="N17:N19"/>
    <mergeCell ref="O17:O19"/>
    <mergeCell ref="P17:P19"/>
    <mergeCell ref="Q17:Q19"/>
    <mergeCell ref="S55:S57"/>
    <mergeCell ref="M35:M37"/>
    <mergeCell ref="N55:N57"/>
    <mergeCell ref="T55:T57"/>
    <mergeCell ref="V32:V34"/>
    <mergeCell ref="D29:D31"/>
    <mergeCell ref="E32:E34"/>
    <mergeCell ref="G32:G34"/>
    <mergeCell ref="M32:M34"/>
    <mergeCell ref="O32:O34"/>
    <mergeCell ref="P32:P34"/>
    <mergeCell ref="F32:F34"/>
    <mergeCell ref="R32:R34"/>
    <mergeCell ref="S32:S34"/>
    <mergeCell ref="E35:E37"/>
    <mergeCell ref="F35:F37"/>
    <mergeCell ref="G35:G37"/>
    <mergeCell ref="T14:T16"/>
    <mergeCell ref="S14:S16"/>
    <mergeCell ref="S17:S19"/>
    <mergeCell ref="S35:S37"/>
    <mergeCell ref="T35:T37"/>
    <mergeCell ref="S29:S31"/>
    <mergeCell ref="S26:S28"/>
    <mergeCell ref="A35:A36"/>
    <mergeCell ref="B35:B37"/>
    <mergeCell ref="C35:C37"/>
    <mergeCell ref="D35:D37"/>
    <mergeCell ref="U35:U37"/>
    <mergeCell ref="V35:V37"/>
    <mergeCell ref="P38:P40"/>
    <mergeCell ref="Q38:Q40"/>
    <mergeCell ref="R38:R40"/>
    <mergeCell ref="R35:R37"/>
    <mergeCell ref="U38:U40"/>
    <mergeCell ref="V38:V40"/>
    <mergeCell ref="S38:S40"/>
    <mergeCell ref="T38:T40"/>
    <mergeCell ref="A38:A39"/>
    <mergeCell ref="B38:B40"/>
    <mergeCell ref="C38:C40"/>
    <mergeCell ref="D38:D40"/>
    <mergeCell ref="E38:E40"/>
    <mergeCell ref="F38:F40"/>
    <mergeCell ref="G38:G40"/>
    <mergeCell ref="M38:M40"/>
    <mergeCell ref="U11:U13"/>
    <mergeCell ref="V11:V13"/>
    <mergeCell ref="A14:A15"/>
    <mergeCell ref="B14:B16"/>
    <mergeCell ref="C14:C16"/>
    <mergeCell ref="D14:D16"/>
    <mergeCell ref="E14:E16"/>
    <mergeCell ref="F14:F16"/>
    <mergeCell ref="G14:G16"/>
    <mergeCell ref="M14:M16"/>
    <mergeCell ref="H6:K6"/>
    <mergeCell ref="L6:L7"/>
    <mergeCell ref="N6:N7"/>
    <mergeCell ref="O6:O7"/>
    <mergeCell ref="U6:U7"/>
    <mergeCell ref="V6:V7"/>
    <mergeCell ref="R6:R7"/>
    <mergeCell ref="S6:S7"/>
    <mergeCell ref="M50:M54"/>
    <mergeCell ref="N50:N54"/>
    <mergeCell ref="M55:M57"/>
    <mergeCell ref="M61:M63"/>
    <mergeCell ref="N61:N63"/>
    <mergeCell ref="O50:O54"/>
    <mergeCell ref="P50:P54"/>
    <mergeCell ref="O55:O57"/>
    <mergeCell ref="P55:P57"/>
    <mergeCell ref="O61:O63"/>
    <mergeCell ref="P61:P63"/>
    <mergeCell ref="N58:N60"/>
    <mergeCell ref="U76:U79"/>
    <mergeCell ref="O58:O60"/>
    <mergeCell ref="P58:P60"/>
    <mergeCell ref="Q58:Q60"/>
    <mergeCell ref="S58:S60"/>
    <mergeCell ref="U58:U60"/>
    <mergeCell ref="N64:N66"/>
    <mergeCell ref="V76:V79"/>
    <mergeCell ref="M76:M79"/>
    <mergeCell ref="N76:N79"/>
    <mergeCell ref="O76:O79"/>
    <mergeCell ref="P76:P79"/>
    <mergeCell ref="R76:R79"/>
    <mergeCell ref="S76:S79"/>
    <mergeCell ref="Q76:Q79"/>
    <mergeCell ref="T76:T79"/>
    <mergeCell ref="R44:R46"/>
    <mergeCell ref="S11:S13"/>
    <mergeCell ref="R41:R43"/>
    <mergeCell ref="T58:T60"/>
    <mergeCell ref="S44:S46"/>
    <mergeCell ref="T44:T46"/>
    <mergeCell ref="R47:R49"/>
    <mergeCell ref="T26:T28"/>
    <mergeCell ref="S20:S22"/>
    <mergeCell ref="T20:T22"/>
    <mergeCell ref="R58:R60"/>
    <mergeCell ref="S61:S63"/>
    <mergeCell ref="F11:F13"/>
    <mergeCell ref="A17:A18"/>
    <mergeCell ref="B17:B19"/>
    <mergeCell ref="E41:E43"/>
    <mergeCell ref="F41:F43"/>
    <mergeCell ref="A11:A12"/>
    <mergeCell ref="G41:G43"/>
    <mergeCell ref="A41:A42"/>
    <mergeCell ref="T11:T13"/>
    <mergeCell ref="G17:G19"/>
    <mergeCell ref="E17:E19"/>
    <mergeCell ref="F17:F19"/>
    <mergeCell ref="R17:R19"/>
    <mergeCell ref="R14:R16"/>
    <mergeCell ref="G11:G13"/>
    <mergeCell ref="B41:B43"/>
    <mergeCell ref="C41:C43"/>
    <mergeCell ref="D41:D43"/>
    <mergeCell ref="D11:D13"/>
    <mergeCell ref="B29:B31"/>
    <mergeCell ref="C29:C31"/>
    <mergeCell ref="B11:B13"/>
    <mergeCell ref="M5:Q5"/>
    <mergeCell ref="N11:N13"/>
    <mergeCell ref="O11:O13"/>
    <mergeCell ref="P11:P13"/>
    <mergeCell ref="Q11:Q13"/>
    <mergeCell ref="P6:P7"/>
    <mergeCell ref="Q6:Q7"/>
    <mergeCell ref="N8:N10"/>
    <mergeCell ref="M8:M10"/>
    <mergeCell ref="O8:O10"/>
    <mergeCell ref="N41:N43"/>
    <mergeCell ref="O41:O43"/>
    <mergeCell ref="M11:M13"/>
    <mergeCell ref="N38:N40"/>
    <mergeCell ref="O38:O40"/>
    <mergeCell ref="N32:N34"/>
    <mergeCell ref="M41:M43"/>
    <mergeCell ref="N35:N37"/>
    <mergeCell ref="P41:P43"/>
    <mergeCell ref="Q41:Q43"/>
    <mergeCell ref="U41:U43"/>
    <mergeCell ref="V41:V43"/>
    <mergeCell ref="S41:S43"/>
    <mergeCell ref="T41:T43"/>
    <mergeCell ref="A58:A59"/>
    <mergeCell ref="B58:B60"/>
    <mergeCell ref="C58:C60"/>
    <mergeCell ref="D58:D60"/>
    <mergeCell ref="E58:E60"/>
    <mergeCell ref="F58:F60"/>
    <mergeCell ref="G58:G60"/>
    <mergeCell ref="M58:M60"/>
    <mergeCell ref="A64:A65"/>
    <mergeCell ref="B64:B66"/>
    <mergeCell ref="C64:C66"/>
    <mergeCell ref="D64:D66"/>
    <mergeCell ref="E64:E66"/>
    <mergeCell ref="F64:F66"/>
    <mergeCell ref="G64:G66"/>
    <mergeCell ref="M64:M66"/>
    <mergeCell ref="O64:O66"/>
    <mergeCell ref="P64:P66"/>
    <mergeCell ref="Q64:Q66"/>
    <mergeCell ref="R64:R66"/>
    <mergeCell ref="S64:S66"/>
    <mergeCell ref="T64:T66"/>
    <mergeCell ref="U64:U66"/>
    <mergeCell ref="V64:V66"/>
    <mergeCell ref="A67:A68"/>
    <mergeCell ref="B67:B69"/>
    <mergeCell ref="C67:C69"/>
    <mergeCell ref="D67:D69"/>
    <mergeCell ref="E67:E69"/>
    <mergeCell ref="F67:F69"/>
    <mergeCell ref="G67:G69"/>
    <mergeCell ref="M67:M69"/>
    <mergeCell ref="N67:N69"/>
    <mergeCell ref="O67:O69"/>
    <mergeCell ref="P67:P69"/>
    <mergeCell ref="Q67:Q69"/>
    <mergeCell ref="S67:S69"/>
    <mergeCell ref="R67:R69"/>
    <mergeCell ref="T67:T69"/>
    <mergeCell ref="U67:U69"/>
    <mergeCell ref="V67:V69"/>
    <mergeCell ref="A70:A71"/>
    <mergeCell ref="B70:B72"/>
    <mergeCell ref="C70:C72"/>
    <mergeCell ref="D70:D72"/>
    <mergeCell ref="E70:E72"/>
    <mergeCell ref="F70:F72"/>
    <mergeCell ref="G70:G72"/>
    <mergeCell ref="M70:M72"/>
    <mergeCell ref="N70:N72"/>
    <mergeCell ref="O70:O72"/>
    <mergeCell ref="P70:P72"/>
    <mergeCell ref="Q70:Q72"/>
    <mergeCell ref="S70:S72"/>
    <mergeCell ref="T70:T72"/>
    <mergeCell ref="U70:U72"/>
    <mergeCell ref="R70:R72"/>
    <mergeCell ref="V70:V72"/>
    <mergeCell ref="A73:A74"/>
    <mergeCell ref="B73:B75"/>
    <mergeCell ref="C73:C75"/>
    <mergeCell ref="D73:D75"/>
    <mergeCell ref="E73:E75"/>
    <mergeCell ref="F73:F75"/>
    <mergeCell ref="G73:G75"/>
    <mergeCell ref="M73:M75"/>
    <mergeCell ref="V73:V75"/>
    <mergeCell ref="N73:N75"/>
    <mergeCell ref="O73:O75"/>
    <mergeCell ref="P73:P75"/>
    <mergeCell ref="Q73:Q75"/>
    <mergeCell ref="R73:R75"/>
    <mergeCell ref="S73:S75"/>
    <mergeCell ref="T73:T75"/>
    <mergeCell ref="U73:U75"/>
  </mergeCells>
  <printOptions/>
  <pageMargins left="0.7874015748031497" right="0" top="0.984251968503937" bottom="0.98425196850393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Tarquinio</dc:creator>
  <cp:keywords/>
  <dc:description/>
  <cp:lastModifiedBy>Fabio Luiz</cp:lastModifiedBy>
  <cp:lastPrinted>2013-03-03T23:43:39Z</cp:lastPrinted>
  <dcterms:created xsi:type="dcterms:W3CDTF">2094-09-15T23:21:08Z</dcterms:created>
  <dcterms:modified xsi:type="dcterms:W3CDTF">2013-03-07T18:51:39Z</dcterms:modified>
  <cp:category/>
  <cp:version/>
  <cp:contentType/>
  <cp:contentStatus/>
</cp:coreProperties>
</file>