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0" yWindow="2535" windowWidth="12120" windowHeight="4500" tabRatio="637" activeTab="0"/>
  </bookViews>
  <sheets>
    <sheet name="Reforma Terminal Rod Simolândia" sheetId="1" r:id="rId1"/>
    <sheet name="Cronograma TRP Simolândia" sheetId="2" r:id="rId2"/>
    <sheet name="REVEST TRP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1">#REF!</definedName>
    <definedName name="\0" localSheetId="2">#REF!</definedName>
    <definedName name="\0">#REF!</definedName>
    <definedName name="_Fill" hidden="1">#REF!</definedName>
    <definedName name="A">#REF!</definedName>
    <definedName name="AA">#REF!</definedName>
    <definedName name="_xlnm.Print_Area" localSheetId="1">'Cronograma TRP Simolândia'!$A$1:$H$32</definedName>
    <definedName name="_xlnm.Print_Area" localSheetId="0">'Reforma Terminal Rod Simolândia'!$A$1:$H$129</definedName>
    <definedName name="er" localSheetId="1">'[8]INSUMOS'!$C$14</definedName>
    <definedName name="er" localSheetId="2">'[4]INSUMOS'!$C$14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'[8]INSUMOS'!$C$61</definedName>
    <definedName name="ijol" localSheetId="2">'[4]INSUMOS'!$C$61</definedName>
    <definedName name="ijol">'[4]INSUMOS'!$C$61</definedName>
    <definedName name="INS01" localSheetId="1">'[8]INSUMOS'!$C$2</definedName>
    <definedName name="INS01" localSheetId="2">'[4]INSUMOS'!$C$2</definedName>
    <definedName name="INS01">'[4]INSUMOS'!$C$2</definedName>
    <definedName name="INS02" localSheetId="1">'[8]INSUMOS'!$C$3</definedName>
    <definedName name="INS02" localSheetId="2">'[4]INSUMOS'!$C$3</definedName>
    <definedName name="INS02">'[4]INSUMOS'!$C$3</definedName>
    <definedName name="INS03" localSheetId="1">'[8]INSUMOS'!$C$4</definedName>
    <definedName name="INS03" localSheetId="2">'[4]INSUMOS'!$C$4</definedName>
    <definedName name="INS03">'[4]INSUMOS'!$C$4</definedName>
    <definedName name="INS03A" localSheetId="1">'[8]INSUMOS'!$C$5</definedName>
    <definedName name="INS03A" localSheetId="2">'[4]INSUMOS'!$C$5</definedName>
    <definedName name="INS03A">'[4]INSUMOS'!$C$5</definedName>
    <definedName name="INS04" localSheetId="1">'[8]INSUMOS'!$C$6</definedName>
    <definedName name="INS04" localSheetId="2">'[4]INSUMOS'!$C$6</definedName>
    <definedName name="INS04">'[4]INSUMOS'!$C$6</definedName>
    <definedName name="INS04A" localSheetId="1">'[8]INSUMOS'!$C$7</definedName>
    <definedName name="INS04A" localSheetId="2">'[4]INSUMOS'!$C$7</definedName>
    <definedName name="INS04A">'[4]INSUMOS'!$C$7</definedName>
    <definedName name="INS04B" localSheetId="1">'[8]INSUMOS'!$C$8</definedName>
    <definedName name="INS04B" localSheetId="2">'[4]INSUMOS'!$C$8</definedName>
    <definedName name="INS04B">'[4]INSUMOS'!$C$8</definedName>
    <definedName name="INS05" localSheetId="1">'[7]INSUMOS'!$C$12</definedName>
    <definedName name="INS05" localSheetId="2">'[3]INSUMOS'!$C$12</definedName>
    <definedName name="INS05">'[3]INSUMOS'!$C$12</definedName>
    <definedName name="INS05A">#REF!</definedName>
    <definedName name="INS06" localSheetId="1">'[7]INSUMOS'!$C$14</definedName>
    <definedName name="INS06" localSheetId="2">'[3]INSUMOS'!$C$14</definedName>
    <definedName name="INS06">'[3]INSUMOS'!$C$14</definedName>
    <definedName name="INS06B">#REF!</definedName>
    <definedName name="INS07" localSheetId="1">'[8]INSUMOS'!$C$16</definedName>
    <definedName name="INS07" localSheetId="2">'[4]INSUMOS'!$C$16</definedName>
    <definedName name="INS07">'[4]INSUMOS'!$C$16</definedName>
    <definedName name="INS08" localSheetId="1">'[8]INSUMOS'!$C$17</definedName>
    <definedName name="INS08" localSheetId="2">'[4]INSUMOS'!$C$17</definedName>
    <definedName name="INS08">'[4]INSUMOS'!$C$17</definedName>
    <definedName name="INS09" localSheetId="1">'[8]INSUMOS'!$C$18</definedName>
    <definedName name="INS09" localSheetId="2">'[4]INSUMOS'!$C$18</definedName>
    <definedName name="INS09">'[4]INSUMOS'!$C$18</definedName>
    <definedName name="INS10" localSheetId="1">'[8]INSUMOS'!$C$19</definedName>
    <definedName name="INS10" localSheetId="2">'[4]INSUMOS'!$C$19</definedName>
    <definedName name="INS10">'[4]INSUMOS'!$C$19</definedName>
    <definedName name="INS11" localSheetId="1">'[7]INSUMOS'!$C$20</definedName>
    <definedName name="INS11" localSheetId="2">'[3]INSUMOS'!$C$20</definedName>
    <definedName name="INS11">'[3]INSUMOS'!$C$20</definedName>
    <definedName name="INS12">#REF!</definedName>
    <definedName name="INS13">#REF!</definedName>
    <definedName name="INS14" localSheetId="1">'[8]INSUMOS'!$C$23</definedName>
    <definedName name="INS14" localSheetId="2">'[4]INSUMOS'!$C$23</definedName>
    <definedName name="INS14">'[4]INSUMOS'!$C$23</definedName>
    <definedName name="INS15">#REF!</definedName>
    <definedName name="INS16" localSheetId="1">'[8]INSUMOS'!$C$25</definedName>
    <definedName name="INS16" localSheetId="2">'[4]INSUMOS'!$C$25</definedName>
    <definedName name="INS16">'[4]INSUMOS'!$C$25</definedName>
    <definedName name="INS17" localSheetId="1">'[8]INSUMOS'!$C$26</definedName>
    <definedName name="INS17" localSheetId="2">'[4]INSUMOS'!$C$26</definedName>
    <definedName name="INS17">'[4]INSUMOS'!$C$26</definedName>
    <definedName name="INS17A" localSheetId="1">'[8]INSUMOS'!$C$27</definedName>
    <definedName name="INS17A" localSheetId="2">'[4]INSUMOS'!$C$27</definedName>
    <definedName name="INS17A">'[4]INSUMOS'!$C$27</definedName>
    <definedName name="INS18">#REF!</definedName>
    <definedName name="INS19" localSheetId="1">'[8]INSUMOS'!$C$29</definedName>
    <definedName name="INS19" localSheetId="2">'[4]INSUMOS'!$C$29</definedName>
    <definedName name="INS19">'[4]INSUMOS'!$C$29</definedName>
    <definedName name="INS20" localSheetId="1">'[8]INSUMOS'!$C$30</definedName>
    <definedName name="INS20" localSheetId="2">'[4]INSUMOS'!$C$30</definedName>
    <definedName name="INS20">'[4]INSUMOS'!$C$30</definedName>
    <definedName name="INS21" localSheetId="1">'[8]INSUMOS'!$C$31</definedName>
    <definedName name="INS21" localSheetId="2">'[4]INSUMOS'!$C$31</definedName>
    <definedName name="INS21">'[4]INSUMOS'!$C$31</definedName>
    <definedName name="INS21B">#REF!</definedName>
    <definedName name="INS21C" localSheetId="1">'[8]INSUMOS'!$C$33</definedName>
    <definedName name="INS21C" localSheetId="2">'[4]INSUMOS'!$C$33</definedName>
    <definedName name="INS21C">'[4]INSUMOS'!$C$33</definedName>
    <definedName name="INS21D" localSheetId="1">'[8]INSUMOS'!$C$34</definedName>
    <definedName name="INS21D" localSheetId="2">'[4]INSUMOS'!$C$34</definedName>
    <definedName name="INS21D">'[4]INSUMOS'!$C$34</definedName>
    <definedName name="INS21E" localSheetId="1">'[8]INSUMOS'!$C$35</definedName>
    <definedName name="INS21E" localSheetId="2">'[4]INSUMOS'!$C$35</definedName>
    <definedName name="INS21E">'[4]INSUMOS'!$C$35</definedName>
    <definedName name="INS22" localSheetId="1">'[8]INSUMOS'!$C$36</definedName>
    <definedName name="INS22" localSheetId="2">'[4]INSUMOS'!$C$36</definedName>
    <definedName name="INS22">'[4]INSUMOS'!$C$36</definedName>
    <definedName name="INS23">#REF!</definedName>
    <definedName name="INS24">#REF!</definedName>
    <definedName name="INS24A" localSheetId="1">'[8]INSUMOS'!$C$38</definedName>
    <definedName name="INS24A" localSheetId="2">'[4]INSUMOS'!$C$38</definedName>
    <definedName name="INS24A">'[4]INSUMOS'!$C$38</definedName>
    <definedName name="INS24AA">#REF!</definedName>
    <definedName name="INS24BB">#REF!</definedName>
    <definedName name="INS24D" localSheetId="1">'[8]INSUMOS'!$C$39</definedName>
    <definedName name="INS24D" localSheetId="2">'[4]INSUMOS'!$C$39</definedName>
    <definedName name="INS24D">'[4]INSUMOS'!$C$39</definedName>
    <definedName name="INS25" localSheetId="1">'[8]INSUMOS'!$C$42</definedName>
    <definedName name="INS25" localSheetId="2">'[4]INSUMOS'!$C$42</definedName>
    <definedName name="INS25">'[4]INSUMOS'!$C$42</definedName>
    <definedName name="INS26" localSheetId="1">'[8]INSUMOS'!$C$43</definedName>
    <definedName name="INS26" localSheetId="2">'[4]INSUMOS'!$C$43</definedName>
    <definedName name="INS26">'[4]INSUMOS'!$C$43</definedName>
    <definedName name="INS27" localSheetId="1">'[8]INSUMOS'!$C$44</definedName>
    <definedName name="INS27" localSheetId="2">'[4]INSUMOS'!$C$44</definedName>
    <definedName name="INS27">'[4]INSUMOS'!$C$44</definedName>
    <definedName name="INS28" localSheetId="1">'[8]INSUMOS'!$C$45</definedName>
    <definedName name="INS28" localSheetId="2">'[4]INSUMOS'!$C$45</definedName>
    <definedName name="INS28">'[4]INSUMOS'!$C$45</definedName>
    <definedName name="INS29">#REF!</definedName>
    <definedName name="INS30" localSheetId="1">'[8]INSUMOS'!$C$47</definedName>
    <definedName name="INS30" localSheetId="2">'[4]INSUMOS'!$C$47</definedName>
    <definedName name="INS30">'[4]INSUMOS'!$C$47</definedName>
    <definedName name="INS31" localSheetId="1">'[8]INSUMOS'!$C$48</definedName>
    <definedName name="INS31" localSheetId="2">'[4]INSUMOS'!$C$48</definedName>
    <definedName name="INS31">'[4]INSUMOS'!$C$48</definedName>
    <definedName name="INS31A">#REF!</definedName>
    <definedName name="INS31B">#REF!</definedName>
    <definedName name="INS32">#REF!</definedName>
    <definedName name="INS33" localSheetId="1">'[7]INSUMOS'!$C$52</definedName>
    <definedName name="INS33" localSheetId="2">'[3]INSUMOS'!$C$52</definedName>
    <definedName name="INS33">'[3]INSUMOS'!$C$52</definedName>
    <definedName name="INS34">#REF!</definedName>
    <definedName name="INS35">#REF!</definedName>
    <definedName name="INS36">#REF!</definedName>
    <definedName name="INS37" localSheetId="1">'[7]INSUMOS'!$C$56</definedName>
    <definedName name="INS37" localSheetId="2">'[3]INSUMOS'!$C$56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 localSheetId="1">'[7]INSUMOS'!$C$61</definedName>
    <definedName name="INS42" localSheetId="2">'[3]INSUMOS'!$C$61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 localSheetId="1">'[7]INSUMOS'!$C$66</definedName>
    <definedName name="INS47" localSheetId="2">'[3]INSUMOS'!$C$66</definedName>
    <definedName name="INS47">'[3]INSUMOS'!$C$66</definedName>
    <definedName name="INS48">#REF!</definedName>
    <definedName name="INS4C" localSheetId="1">'[8]INSUMOS'!$C$9</definedName>
    <definedName name="INS4C" localSheetId="2">'[4]INSUMOS'!$C$9</definedName>
    <definedName name="INS4C">'[4]INSUMOS'!$C$9</definedName>
    <definedName name="INS4D">#REF!</definedName>
    <definedName name="INS4E">#REF!</definedName>
    <definedName name="lui" localSheetId="1">#REF!</definedName>
    <definedName name="lui" localSheetId="2">#REF!</definedName>
    <definedName name="lui">#REF!</definedName>
    <definedName name="_xlnm.Print_Titles" localSheetId="0">'Reforma Terminal Rod Simolândia'!$1:$12</definedName>
    <definedName name="tre3" localSheetId="1">'[8]INSUMOS'!$C$66</definedName>
    <definedName name="tre3" localSheetId="2">'[4]INSUMOS'!$C$66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<sst xmlns="http://schemas.openxmlformats.org/spreadsheetml/2006/main" count="363" uniqueCount="263">
  <si>
    <t>LAMPADA VAPOR METALICO OVOIDE 150 W</t>
  </si>
  <si>
    <t>LUM.TIPO ARANDELA BLINDADA A PROVA DE TEMPO 90 GR.ATE 200W</t>
  </si>
  <si>
    <t>QUADRO DE DISTRIBUICAO SB-3E</t>
  </si>
  <si>
    <t>QUADRO DE DISTRIBUICAO SB-6E</t>
  </si>
  <si>
    <t>REATOR AFP V.METALICO 150 W</t>
  </si>
  <si>
    <t>TOMADA HEXAGONAL 2P + T - 10A - 250V</t>
  </si>
  <si>
    <t>TOMADA TELEFONICA</t>
  </si>
  <si>
    <t>071441</t>
  </si>
  <si>
    <t>INTERRUPTOR SIMPLES (1 SECAO)</t>
  </si>
  <si>
    <t>FERRAMENTAS</t>
  </si>
  <si>
    <t>020200</t>
  </si>
  <si>
    <t>021602</t>
  </si>
  <si>
    <t>EPI/PPRA (&lt; 20 EMPREGADOS) (A&gt;=200M2) AREAS EDIF.COB. FECHADAS</t>
  </si>
  <si>
    <t>LIMPEZA DE FOSSA SÉPTICA</t>
  </si>
  <si>
    <t>TUBO DE LIGACAO PVC CROMADO 1.1/2" (ENTRADA)</t>
  </si>
  <si>
    <t>080514</t>
  </si>
  <si>
    <t>REVISÃO DAS INSTALAÇÕES HIDRO-SANITÁRIAS (ENCANADOR)</t>
  </si>
  <si>
    <t>M</t>
  </si>
  <si>
    <t>UN</t>
  </si>
  <si>
    <t>QUANT.</t>
  </si>
  <si>
    <t>ORÇAMENTO ANALÍTICO</t>
  </si>
  <si>
    <t>PINTURA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</si>
  <si>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</si>
  <si>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</si>
  <si>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</si>
  <si>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</si>
  <si>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</si>
  <si>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</si>
  <si>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</si>
  <si>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</si>
  <si>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</si>
  <si>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</si>
  <si>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020000</t>
  </si>
  <si>
    <t>M2</t>
  </si>
  <si>
    <t>TOTAL DO ITEM</t>
  </si>
  <si>
    <t>070101</t>
  </si>
  <si>
    <t>070102</t>
  </si>
  <si>
    <t>080000</t>
  </si>
  <si>
    <t>180000</t>
  </si>
  <si>
    <t>200000</t>
  </si>
  <si>
    <t>220000</t>
  </si>
  <si>
    <t>190000</t>
  </si>
  <si>
    <t>230000</t>
  </si>
  <si>
    <t>FECHAD. (ALAV.) LAFONTE 6236 I /8766- I18 IMAB</t>
  </si>
  <si>
    <t>260000</t>
  </si>
  <si>
    <t>261503</t>
  </si>
  <si>
    <t>270000</t>
  </si>
  <si>
    <t>270501</t>
  </si>
  <si>
    <t>CUSTO TOTAL R$</t>
  </si>
  <si>
    <t>VALOR GLOBAL</t>
  </si>
  <si>
    <t>SERVICOS PRELIMINARES</t>
  </si>
  <si>
    <t>M3</t>
  </si>
  <si>
    <t>INSTALACOES ELETRICAS</t>
  </si>
  <si>
    <t>INSTALACOES HIDRO-SANITARIAS</t>
  </si>
  <si>
    <t>ESQUADRIAS METALICAS</t>
  </si>
  <si>
    <t>REVESTIMENTO DE PAREDES</t>
  </si>
  <si>
    <t>REVESTIMENTO DE PISO</t>
  </si>
  <si>
    <t>FERRAGENS</t>
  </si>
  <si>
    <t>LIMPEZA FINAL DE OBRA - (OBRAS CIVIS)</t>
  </si>
  <si>
    <t>VIDROS</t>
  </si>
  <si>
    <t>H</t>
  </si>
  <si>
    <t>DIVERSOS</t>
  </si>
  <si>
    <t>RETIRADA DE JANELAS OU PORTAIS</t>
  </si>
  <si>
    <t>020106</t>
  </si>
  <si>
    <t>DEMOL.-REVEST.C/AZULEJOS C/TRANSP.ATE CB. E CARGA</t>
  </si>
  <si>
    <t>020115</t>
  </si>
  <si>
    <t>TRANSP.DE ENTULHO EM CAMINHAO SEM CARGA</t>
  </si>
  <si>
    <t>030106</t>
  </si>
  <si>
    <t>021301</t>
  </si>
  <si>
    <t>PLACA DE OBRA</t>
  </si>
  <si>
    <t xml:space="preserve">SIMOLÂNDIA - GO </t>
  </si>
  <si>
    <t>JANEIRO/2013</t>
  </si>
  <si>
    <t>030000</t>
  </si>
  <si>
    <t>TRANSPORTES</t>
  </si>
  <si>
    <t>REFERÊNCIA: TABELA DA AGETOP DE JUNHO 2012</t>
  </si>
  <si>
    <t>REVISÃO DAS INSTALAÇÕES ELÉTRICAS (ELETRICISTA)</t>
  </si>
  <si>
    <t>070541</t>
  </si>
  <si>
    <t>070646</t>
  </si>
  <si>
    <t>070691</t>
  </si>
  <si>
    <t>071171</t>
  </si>
  <si>
    <t>071291</t>
  </si>
  <si>
    <t>071301</t>
  </si>
  <si>
    <t>071321</t>
  </si>
  <si>
    <t>071380</t>
  </si>
  <si>
    <t>071440</t>
  </si>
  <si>
    <t>071525</t>
  </si>
  <si>
    <t>071621</t>
  </si>
  <si>
    <t>072220</t>
  </si>
  <si>
    <t>072221</t>
  </si>
  <si>
    <t>072236</t>
  </si>
  <si>
    <t>072578</t>
  </si>
  <si>
    <t>072590</t>
  </si>
  <si>
    <t>CABO DE COBRE NU No. 16 MM2 (6,94 M/KG)</t>
  </si>
  <si>
    <t>CAIXA DE PASSAGEM METALICA 20X20X12 CM</t>
  </si>
  <si>
    <t>CAIXA METALICA RET. 4" X 2" X 2"</t>
  </si>
  <si>
    <t>DISJUNTOR MONOPOLAR DE 10 A 30-A</t>
  </si>
  <si>
    <t>FIO ISOLADO 750 V, PIRASTIC No. 2,5 MM2</t>
  </si>
  <si>
    <t>FIO TELEFONICO FEAA-80 (USO INTERNO E EXTERNO)</t>
  </si>
  <si>
    <t>FITA DE AUTO FUSAO, ROLO E 10,00 MM</t>
  </si>
  <si>
    <t>HASTE COPPERWELD 3/4" X 2,40 M C/CONECTOR</t>
  </si>
  <si>
    <t>GRELHA REDONDA BRANCA DIAM. 100 MM</t>
  </si>
  <si>
    <t>REFORMA ESQUADRIAS METÁLICAS (SERRALHEIRO)</t>
  </si>
  <si>
    <t>AZULEJO</t>
  </si>
  <si>
    <t>201101</t>
  </si>
  <si>
    <t>VIDRO LISO 3 MM</t>
  </si>
  <si>
    <t>190101</t>
  </si>
  <si>
    <t>230102</t>
  </si>
  <si>
    <t>TP</t>
  </si>
  <si>
    <t>CHAPISCO + REBOCO + MASSA ACRÍLICA + PINTURA ACRÍLICA BRANCO NEVE</t>
  </si>
  <si>
    <t>PORTA</t>
  </si>
  <si>
    <t xml:space="preserve">CHAPISCO + EMBOÇO + CERAMICA  </t>
  </si>
  <si>
    <t>JANELA</t>
  </si>
  <si>
    <t>REVESTIMENTO DE PAREDE</t>
  </si>
  <si>
    <t>TETOS</t>
  </si>
  <si>
    <t xml:space="preserve">PINTURA </t>
  </si>
  <si>
    <t>CÔMODO</t>
  </si>
  <si>
    <t>Q</t>
  </si>
  <si>
    <t>L1</t>
  </si>
  <si>
    <t>L2</t>
  </si>
  <si>
    <t>P</t>
  </si>
  <si>
    <t>PD</t>
  </si>
  <si>
    <t>ABERTURA</t>
  </si>
  <si>
    <t>DESCONTOS</t>
  </si>
  <si>
    <t>CHAPISCO</t>
  </si>
  <si>
    <t>EMBOÇO</t>
  </si>
  <si>
    <t>MASSA PVA</t>
  </si>
  <si>
    <t>PINTURA PVA</t>
  </si>
  <si>
    <t>ÁREA</t>
  </si>
  <si>
    <t>LARGURA</t>
  </si>
  <si>
    <t>ALTURA</t>
  </si>
  <si>
    <t>J1</t>
  </si>
  <si>
    <t>EXTERNA</t>
  </si>
  <si>
    <t>ESQ. METÁLICA</t>
  </si>
  <si>
    <t>ESQ. DE MADEIRA</t>
  </si>
  <si>
    <t>BILHETERIA</t>
  </si>
  <si>
    <t>PINTURA ESMALTE</t>
  </si>
  <si>
    <t>PE</t>
  </si>
  <si>
    <t>PAREDE</t>
  </si>
  <si>
    <t>DEPÓSITO</t>
  </si>
  <si>
    <t>J2</t>
  </si>
  <si>
    <t>PINTURA PVA LATEX 2 DEMAOS SEM SELADOR</t>
  </si>
  <si>
    <t>261307</t>
  </si>
  <si>
    <t>PINTURA ESMALTE 1 DEMÃO EM PAREDE SEM SELADOR</t>
  </si>
  <si>
    <t>261548</t>
  </si>
  <si>
    <t>PINT.ESMALTE 2 DEM. ESQ.FERRO (S/FUNDO ANTICOR.)</t>
  </si>
  <si>
    <t>PINTURA ESMALTE SINTETICO 2 DEMÃOS EM ESQ. MADEIRA</t>
  </si>
  <si>
    <t>261560</t>
  </si>
  <si>
    <t>261620</t>
  </si>
  <si>
    <t>LETREIRO EM PAREDE FEITO A PINCEL</t>
  </si>
  <si>
    <t>PINTURA ESMALTE ALQUIDICO EST.METALICA 1 DEMAO</t>
  </si>
  <si>
    <t>261610</t>
  </si>
  <si>
    <t>250000</t>
  </si>
  <si>
    <t>ADMINISTRAÇÃO</t>
  </si>
  <si>
    <t>MESTRE DE OBRA - (OBRAS CIVIS)</t>
  </si>
  <si>
    <t>250102</t>
  </si>
  <si>
    <t>VIGIA DE OBRAS - (NOTURNO E NO SÁBADO/DOMINGO DIURNO)</t>
  </si>
  <si>
    <t>250110</t>
  </si>
  <si>
    <t>250101</t>
  </si>
  <si>
    <t>ENGENHEIRO - (OBRAS CIVIS)</t>
  </si>
  <si>
    <t>271502</t>
  </si>
  <si>
    <t>CANTINA</t>
  </si>
  <si>
    <t>REF</t>
  </si>
  <si>
    <t>TRANSPORTE</t>
  </si>
  <si>
    <t>VIAG</t>
  </si>
  <si>
    <t>271500</t>
  </si>
  <si>
    <t>CAFÉ DA MANHÃ</t>
  </si>
  <si>
    <t>PLACA DE INAUGURAÇÃO EM DURALUMÍNIO 42 X 60 CM</t>
  </si>
  <si>
    <t>270805</t>
  </si>
  <si>
    <t>CJ</t>
  </si>
  <si>
    <t xml:space="preserve">BDI </t>
  </si>
  <si>
    <t>TERMINAL RODOVIÁRIO PADRÃO 1-A - PINTURA</t>
  </si>
  <si>
    <t>J3</t>
  </si>
  <si>
    <t>GRJ3</t>
  </si>
  <si>
    <t>P1</t>
  </si>
  <si>
    <t>SANITÁRIO FEMININO</t>
  </si>
  <si>
    <t>P2</t>
  </si>
  <si>
    <t>P3</t>
  </si>
  <si>
    <t>SANITÁRIO MASCULINO</t>
  </si>
  <si>
    <t>COZINHA</t>
  </si>
  <si>
    <t>GRJ2</t>
  </si>
  <si>
    <t>J4</t>
  </si>
  <si>
    <t>LANCHONETE</t>
  </si>
  <si>
    <t>P4</t>
  </si>
  <si>
    <t>J5</t>
  </si>
  <si>
    <t>EXTERNO</t>
  </si>
  <si>
    <t>J1/J4</t>
  </si>
  <si>
    <t>REFORMA DO TERMINAL RODOVIÁRIO</t>
  </si>
  <si>
    <t>MICTORIO DE LOUCA C/SIFAO INTEGRADO</t>
  </si>
  <si>
    <t>080601</t>
  </si>
  <si>
    <t>KIT FERR.P/MICT.LOUCA (ESPUDE,CONEXÃO ENTR.PARAFUSOS)</t>
  </si>
  <si>
    <t>080610</t>
  </si>
  <si>
    <t>DEMOLIÇAO DE BACIA TURCA</t>
  </si>
  <si>
    <t>020145</t>
  </si>
  <si>
    <t>DEMOLIÇAO DE VÁLVULA DE DESCARGA</t>
  </si>
  <si>
    <t>020140</t>
  </si>
  <si>
    <t>VÁLVULA DE DESCARGA C/ACABAMENTO ANTI-VANDALISMO</t>
  </si>
  <si>
    <t>080517</t>
  </si>
  <si>
    <t>CONJUNTO DE FIXACAO P/VASO SANITARIO (PAR)</t>
  </si>
  <si>
    <t>080520</t>
  </si>
  <si>
    <t>TAMPA P/VASO SANITARIO 2ª LINHA</t>
  </si>
  <si>
    <t>080525</t>
  </si>
  <si>
    <t>PAPELEIRA LOUCA - EMBUTIR</t>
  </si>
  <si>
    <t>080530</t>
  </si>
  <si>
    <t>081790</t>
  </si>
  <si>
    <t>REVESTIMENTO C/LITOCERAMICA</t>
  </si>
  <si>
    <t>200503</t>
  </si>
  <si>
    <t>220103</t>
  </si>
  <si>
    <t>FIXAÇÃO DE BANCADAS DOS GUICHÊS</t>
  </si>
  <si>
    <t>221109</t>
  </si>
  <si>
    <t>CANTONEIRA DE AÇO NAS BAIAS</t>
  </si>
  <si>
    <t>070700</t>
  </si>
  <si>
    <t>CAIXA P/QUADRO DISTRIB.30X40X20 CM (ALPHA/INCOMAFER)</t>
  </si>
  <si>
    <t>071201</t>
  </si>
  <si>
    <t>ELETRODUTO DE PVC RIGIDO DIAMETRO 3/4"</t>
  </si>
  <si>
    <t>INTERRUPTOR SIMPLES (2 SECOES)</t>
  </si>
  <si>
    <t>071443</t>
  </si>
  <si>
    <t>INTERRUPTOR SIMPLES 1 SEÇÃO E 1 TOMADA HEX. 2P + T-10A CONJ.</t>
  </si>
  <si>
    <t>071577</t>
  </si>
  <si>
    <t>LAMPADA COMPACTA FLUORESCENTE 25/26W</t>
  </si>
  <si>
    <t>071641</t>
  </si>
  <si>
    <t xml:space="preserve">LUMINARIA PLAFON SOBREPOR P/LÂMP.INCANDESCENTE ATÉ 100W </t>
  </si>
  <si>
    <t>CONC.ARM.ESP.=20CM BAIA TERM.RODOVIARIO 30MPA(3X3 M) COMP.SUB-LEITO</t>
  </si>
  <si>
    <t>BLOKRET 10 CM FCK=35 MPA PRE-FABR.</t>
  </si>
  <si>
    <t>270601</t>
  </si>
  <si>
    <t>080502</t>
  </si>
  <si>
    <t>VASO SANITARIO</t>
  </si>
  <si>
    <t>CRONOGRAMA FÍSICO-FINANCEIRO</t>
  </si>
  <si>
    <t xml:space="preserve">LOCAL: SIMOLÂNDIA - GO </t>
  </si>
  <si>
    <t>DATA: MARÇO/2013</t>
  </si>
  <si>
    <t>VALOR   TOTAL   COM   BDI    =</t>
  </si>
  <si>
    <t>ITEM</t>
  </si>
  <si>
    <t>DISCRIMINAÇÃO DOS SERVIÇOS</t>
  </si>
  <si>
    <t>2ª PARCELA (21 - 45 DIAS)</t>
  </si>
  <si>
    <t>VALOR</t>
  </si>
  <si>
    <t>%</t>
  </si>
  <si>
    <t>VALOR (R$)</t>
  </si>
  <si>
    <t>1.0</t>
  </si>
  <si>
    <t>SERVIÇOS PRELIMINARES</t>
  </si>
  <si>
    <t>2.0</t>
  </si>
  <si>
    <t>3.0</t>
  </si>
  <si>
    <t>INSTALAÇÕES ELÉTRICAS</t>
  </si>
  <si>
    <t>4.0</t>
  </si>
  <si>
    <t>INSTALAÇÕES HIDRO-SANITÁRIAS</t>
  </si>
  <si>
    <t>5.0</t>
  </si>
  <si>
    <t>6.0</t>
  </si>
  <si>
    <t>7.0</t>
  </si>
  <si>
    <t>8.0</t>
  </si>
  <si>
    <t>ESQUADRIAS METÁLICAS</t>
  </si>
  <si>
    <t>9.0</t>
  </si>
  <si>
    <t>10.0</t>
  </si>
  <si>
    <t>11.0</t>
  </si>
  <si>
    <t>REVESTIMENTO DE PISOS</t>
  </si>
  <si>
    <t>12.0</t>
  </si>
  <si>
    <t>VALOR TOTAL COM BDI = 24,09%</t>
  </si>
  <si>
    <t>SUB-TOTAL MENSAL</t>
  </si>
  <si>
    <t>ACUMULADO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</si>
  <si>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</si>
  <si>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</si>
  <si>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</si>
  <si>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</si>
  <si>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OBRA: REFORMA DO TERMINAL RODOVIÁRIO DE PASSAGEIROS</t>
  </si>
  <si>
    <t>PRAZO: 30 DIAS CORRIDOS</t>
  </si>
  <si>
    <t>1ª PARCELA - (00 - 30 DIAS)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</si>
</sst>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#,##0.000"/>
    <numFmt numFmtId="167" formatCode="[$€]#\!#0.00_);[Red]\([$€]#,##0.00\)"/>
    <numFmt numFmtId="168" formatCode="#,##0.00&quot; &quot;;&quot; (&quot;#,##0.00&quot;)&quot;;&quot; -&quot;#&quot; &quot;;@&quot; &quot;"/>
    <numFmt numFmtId="169" formatCode="[$R$-416]&quot; &quot;#,##0.00;[Red]&quot;-&quot;[$R$-416]&quot; &quot;#,##0.00"/>
    <numFmt numFmtId="170" formatCode="General_)"/>
    <numFmt numFmtId="171" formatCode="#,#00"/>
    <numFmt numFmtId="172" formatCode="%#,#00"/>
    <numFmt numFmtId="173" formatCode="#.##000"/>
    <numFmt numFmtId="174" formatCode="#,"/>
    <numFmt numFmtId="175" formatCode="#,##0.00000"/>
    <numFmt numFmtId="176" formatCode="#,##0.000000"/>
    <numFmt numFmtId="177" formatCode="_-* #,##0.00_-;\-* #,##0.00_-;_-* &quot;-&quot;??_-;_-@_-"/>
    <numFmt numFmtId="178" formatCode="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.0"/>
    <numFmt numFmtId="184" formatCode="#,##0.0000"/>
    <numFmt numFmtId="185" formatCode="0.0000"/>
    <numFmt numFmtId="186" formatCode="0.000"/>
    <numFmt numFmtId="187" formatCode="0.00000"/>
    <numFmt numFmtId="188" formatCode="0.0"/>
    <numFmt numFmtId="189" formatCode="_-[$R$-416]\ * #,##0.00_-;\-[$R$-416]\ * #,##0.00_-;_-[$R$-416]\ * &quot;-&quot;??_-;_-@_-"/>
    <numFmt numFmtId="190" formatCode="&quot;R$&quot;\ #,##0.00"/>
    <numFmt numFmtId="191" formatCode="dd/mm/yyyy"/>
    <numFmt numFmtId="192" formatCode="#,##0.0000000"/>
    <numFmt numFmtId="193" formatCode="_(* #,##0.00_);_(* \(#,##0.00\);_(* \-??_);_(@_)"/>
    <numFmt numFmtId="194" formatCode="#,##0.000000000"/>
    <numFmt numFmtId="195" formatCode="0.0%"/>
    <numFmt numFmtId="196" formatCode="&quot;R$ &quot;#,##0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3">
    <xf numFmtId="0" fontId="2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2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 vertical="top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1" applyNumberFormat="0" applyAlignment="0" applyProtection="0"/>
    <xf numFmtId="0" fontId="8" fillId="35" borderId="1" applyNumberFormat="0" applyAlignment="0" applyProtection="0"/>
    <xf numFmtId="0" fontId="9" fillId="36" borderId="2" applyNumberFormat="0" applyAlignment="0" applyProtection="0"/>
    <xf numFmtId="0" fontId="10" fillId="0" borderId="3" applyNumberFormat="0" applyFill="0" applyAlignment="0" applyProtection="0"/>
    <xf numFmtId="0" fontId="9" fillId="37" borderId="2" applyNumberFormat="0" applyAlignment="0" applyProtection="0"/>
    <xf numFmtId="0" fontId="24" fillId="0" borderId="0">
      <alignment/>
      <protection locked="0"/>
    </xf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41" borderId="0" applyNumberFormat="0" applyBorder="0" applyAlignment="0" applyProtection="0"/>
    <xf numFmtId="0" fontId="11" fillId="13" borderId="1" applyNumberFormat="0" applyAlignment="0" applyProtection="0"/>
    <xf numFmtId="0" fontId="32" fillId="0" borderId="0">
      <alignment/>
      <protection/>
    </xf>
    <xf numFmtId="167" fontId="12" fillId="0" borderId="0" applyFont="0" applyFill="0" applyBorder="0" applyAlignment="0" applyProtection="0"/>
    <xf numFmtId="0" fontId="4" fillId="0" borderId="0">
      <alignment/>
      <protection/>
    </xf>
    <xf numFmtId="168" fontId="25" fillId="0" borderId="0">
      <alignment/>
      <protection/>
    </xf>
    <xf numFmtId="0" fontId="17" fillId="0" borderId="0" applyNumberFormat="0" applyFill="0" applyBorder="0" applyAlignment="0" applyProtection="0"/>
    <xf numFmtId="171" fontId="24" fillId="0" borderId="0">
      <alignment/>
      <protection locked="0"/>
    </xf>
    <xf numFmtId="0" fontId="7" fillId="4" borderId="0" applyNumberFormat="0" applyBorder="0" applyAlignment="0" applyProtection="0"/>
    <xf numFmtId="0" fontId="26" fillId="0" borderId="0">
      <alignment horizontal="center"/>
      <protection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0" fillId="45" borderId="7" applyNumberFormat="0" applyAlignment="0" applyProtection="0"/>
    <xf numFmtId="0" fontId="15" fillId="34" borderId="8" applyNumberFormat="0" applyAlignment="0" applyProtection="0"/>
    <xf numFmtId="172" fontId="24" fillId="0" borderId="0">
      <alignment/>
      <protection locked="0"/>
    </xf>
    <xf numFmtId="17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169" fontId="29" fillId="0" borderId="0">
      <alignment/>
      <protection/>
    </xf>
    <xf numFmtId="0" fontId="15" fillId="35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0" fillId="0" borderId="9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31" fillId="0" borderId="0">
      <alignment/>
      <protection locked="0"/>
    </xf>
    <xf numFmtId="174" fontId="31" fillId="0" borderId="0">
      <alignment/>
      <protection locked="0"/>
    </xf>
    <xf numFmtId="0" fontId="22" fillId="0" borderId="10" applyNumberFormat="0" applyFill="0" applyAlignment="0" applyProtection="0"/>
    <xf numFmtId="49" fontId="33" fillId="0" borderId="0" applyNumberFormat="0" applyFont="0" applyFill="0" applyBorder="0" applyAlignment="0" applyProtection="0"/>
    <xf numFmtId="49" fontId="33" fillId="0" borderId="0" applyNumberFormat="0" applyFont="0" applyFill="0" applyBorder="0" applyAlignment="0" applyProtection="0"/>
    <xf numFmtId="177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46" borderId="11" xfId="199" applyFill="1" applyBorder="1" applyAlignment="1">
      <alignment wrapText="1"/>
      <protection/>
    </xf>
    <xf numFmtId="0" fontId="0" fillId="46" borderId="11" xfId="199" applyFill="1" applyBorder="1">
      <alignment/>
      <protection/>
    </xf>
    <xf numFmtId="4" fontId="0" fillId="46" borderId="11" xfId="199" applyNumberFormat="1" applyFill="1" applyBorder="1">
      <alignment/>
      <protection/>
    </xf>
    <xf numFmtId="0" fontId="0" fillId="46" borderId="12" xfId="199" applyFill="1" applyBorder="1">
      <alignment/>
      <protection/>
    </xf>
    <xf numFmtId="0" fontId="0" fillId="0" borderId="0" xfId="199">
      <alignment/>
      <protection/>
    </xf>
    <xf numFmtId="0" fontId="0" fillId="46" borderId="0" xfId="199" applyFill="1" applyBorder="1">
      <alignment/>
      <protection/>
    </xf>
    <xf numFmtId="4" fontId="0" fillId="46" borderId="0" xfId="199" applyNumberFormat="1" applyFill="1" applyBorder="1">
      <alignment/>
      <protection/>
    </xf>
    <xf numFmtId="0" fontId="0" fillId="46" borderId="13" xfId="199" applyFill="1" applyBorder="1">
      <alignment/>
      <protection/>
    </xf>
    <xf numFmtId="178" fontId="36" fillId="46" borderId="0" xfId="199" applyNumberFormat="1" applyFont="1" applyFill="1" applyBorder="1" applyAlignment="1">
      <alignment/>
      <protection/>
    </xf>
    <xf numFmtId="178" fontId="37" fillId="46" borderId="0" xfId="199" applyNumberFormat="1" applyFont="1" applyFill="1" applyBorder="1" applyAlignment="1">
      <alignment/>
      <protection/>
    </xf>
    <xf numFmtId="178" fontId="37" fillId="46" borderId="13" xfId="199" applyNumberFormat="1" applyFont="1" applyFill="1" applyBorder="1" applyAlignment="1">
      <alignment/>
      <protection/>
    </xf>
    <xf numFmtId="49" fontId="34" fillId="46" borderId="14" xfId="199" applyNumberFormat="1" applyFont="1" applyFill="1" applyBorder="1" applyAlignment="1">
      <alignment horizontal="left"/>
      <protection/>
    </xf>
    <xf numFmtId="49" fontId="35" fillId="0" borderId="15" xfId="199" applyNumberFormat="1" applyFont="1" applyBorder="1" applyAlignment="1">
      <alignment horizontal="center" vertical="center"/>
      <protection/>
    </xf>
    <xf numFmtId="14" fontId="35" fillId="0" borderId="16" xfId="199" applyNumberFormat="1" applyFont="1" applyBorder="1" applyAlignment="1">
      <alignment horizontal="center" vertical="center"/>
      <protection/>
    </xf>
    <xf numFmtId="0" fontId="35" fillId="0" borderId="16" xfId="199" applyFont="1" applyBorder="1" applyAlignment="1">
      <alignment horizontal="center" vertical="center"/>
      <protection/>
    </xf>
    <xf numFmtId="4" fontId="35" fillId="0" borderId="16" xfId="199" applyNumberFormat="1" applyFont="1" applyBorder="1" applyAlignment="1">
      <alignment horizontal="center" vertical="center"/>
      <protection/>
    </xf>
    <xf numFmtId="0" fontId="35" fillId="0" borderId="17" xfId="199" applyFont="1" applyBorder="1" applyAlignment="1">
      <alignment horizontal="center" vertical="center"/>
      <protection/>
    </xf>
    <xf numFmtId="0" fontId="39" fillId="0" borderId="18" xfId="199" applyFont="1" applyBorder="1" applyAlignment="1">
      <alignment vertical="center" wrapText="1"/>
      <protection/>
    </xf>
    <xf numFmtId="0" fontId="38" fillId="0" borderId="18" xfId="199" applyFont="1" applyBorder="1" applyAlignment="1">
      <alignment vertical="center"/>
      <protection/>
    </xf>
    <xf numFmtId="4" fontId="38" fillId="0" borderId="18" xfId="199" applyNumberFormat="1" applyFont="1" applyBorder="1" applyAlignment="1">
      <alignment vertical="center"/>
      <protection/>
    </xf>
    <xf numFmtId="43" fontId="38" fillId="0" borderId="19" xfId="264" applyFont="1" applyBorder="1" applyAlignment="1">
      <alignment vertical="center"/>
    </xf>
    <xf numFmtId="0" fontId="0" fillId="0" borderId="0" xfId="199" applyAlignment="1">
      <alignment vertical="center"/>
      <protection/>
    </xf>
    <xf numFmtId="0" fontId="39" fillId="0" borderId="20" xfId="199" applyFont="1" applyBorder="1" applyAlignment="1">
      <alignment vertical="center" wrapText="1"/>
      <protection/>
    </xf>
    <xf numFmtId="0" fontId="39" fillId="0" borderId="20" xfId="199" applyFont="1" applyBorder="1" applyAlignment="1">
      <alignment horizontal="center" vertical="center" wrapText="1"/>
      <protection/>
    </xf>
    <xf numFmtId="4" fontId="0" fillId="0" borderId="0" xfId="199" applyNumberFormat="1">
      <alignment/>
      <protection/>
    </xf>
    <xf numFmtId="0" fontId="0" fillId="0" borderId="0" xfId="199" applyAlignment="1">
      <alignment wrapText="1"/>
      <protection/>
    </xf>
    <xf numFmtId="49" fontId="0" fillId="46" borderId="21" xfId="199" applyNumberFormat="1" applyFill="1" applyBorder="1" applyAlignment="1">
      <alignment horizontal="center"/>
      <protection/>
    </xf>
    <xf numFmtId="49" fontId="0" fillId="46" borderId="14" xfId="199" applyNumberFormat="1" applyFill="1" applyBorder="1" applyAlignment="1">
      <alignment horizontal="center"/>
      <protection/>
    </xf>
    <xf numFmtId="49" fontId="3" fillId="0" borderId="22" xfId="199" applyNumberFormat="1" applyFont="1" applyBorder="1" applyAlignment="1">
      <alignment horizontal="center" vertical="center"/>
      <protection/>
    </xf>
    <xf numFmtId="49" fontId="0" fillId="0" borderId="0" xfId="199" applyNumberFormat="1" applyAlignment="1">
      <alignment horizontal="center"/>
      <protection/>
    </xf>
    <xf numFmtId="49" fontId="3" fillId="0" borderId="23" xfId="199" applyNumberFormat="1" applyFont="1" applyBorder="1" applyAlignment="1">
      <alignment horizontal="center" vertical="center"/>
      <protection/>
    </xf>
    <xf numFmtId="0" fontId="3" fillId="0" borderId="20" xfId="199" applyFont="1" applyBorder="1" applyAlignment="1">
      <alignment vertical="center" wrapText="1"/>
      <protection/>
    </xf>
    <xf numFmtId="0" fontId="3" fillId="0" borderId="20" xfId="199" applyFont="1" applyBorder="1" applyAlignment="1">
      <alignment horizontal="center" vertical="center"/>
      <protection/>
    </xf>
    <xf numFmtId="4" fontId="3" fillId="0" borderId="20" xfId="199" applyNumberFormat="1" applyFont="1" applyBorder="1" applyAlignment="1">
      <alignment horizontal="right" vertical="center"/>
      <protection/>
    </xf>
    <xf numFmtId="43" fontId="3" fillId="0" borderId="24" xfId="264" applyFont="1" applyBorder="1" applyAlignment="1">
      <alignment horizontal="right" vertical="center"/>
    </xf>
    <xf numFmtId="0" fontId="35" fillId="0" borderId="20" xfId="199" applyFont="1" applyBorder="1" applyAlignment="1">
      <alignment horizontal="center" vertical="center" wrapText="1"/>
      <protection/>
    </xf>
    <xf numFmtId="0" fontId="38" fillId="0" borderId="20" xfId="199" applyFont="1" applyBorder="1" applyAlignment="1">
      <alignment horizontal="center" vertical="center"/>
      <protection/>
    </xf>
    <xf numFmtId="0" fontId="38" fillId="0" borderId="20" xfId="199" applyFont="1" applyBorder="1" applyAlignment="1">
      <alignment vertical="center"/>
      <protection/>
    </xf>
    <xf numFmtId="4" fontId="38" fillId="0" borderId="20" xfId="199" applyNumberFormat="1" applyFont="1" applyBorder="1" applyAlignment="1">
      <alignment vertical="center"/>
      <protection/>
    </xf>
    <xf numFmtId="43" fontId="39" fillId="0" borderId="24" xfId="264" applyFont="1" applyBorder="1" applyAlignment="1">
      <alignment vertical="center"/>
    </xf>
    <xf numFmtId="4" fontId="3" fillId="0" borderId="20" xfId="199" applyNumberFormat="1" applyFont="1" applyBorder="1" applyAlignment="1">
      <alignment vertical="center"/>
      <protection/>
    </xf>
    <xf numFmtId="43" fontId="3" fillId="0" borderId="24" xfId="264" applyFont="1" applyBorder="1" applyAlignment="1">
      <alignment vertical="center"/>
    </xf>
    <xf numFmtId="0" fontId="3" fillId="0" borderId="20" xfId="199" applyFont="1" applyBorder="1" applyAlignment="1">
      <alignment horizontal="center" vertical="center" wrapText="1"/>
      <protection/>
    </xf>
    <xf numFmtId="4" fontId="40" fillId="0" borderId="20" xfId="199" applyNumberFormat="1" applyFont="1" applyBorder="1" applyAlignment="1">
      <alignment vertical="center"/>
      <protection/>
    </xf>
    <xf numFmtId="0" fontId="39" fillId="0" borderId="18" xfId="199" applyFont="1" applyBorder="1" applyAlignment="1">
      <alignment horizontal="center" vertical="center" wrapText="1"/>
      <protection/>
    </xf>
    <xf numFmtId="0" fontId="3" fillId="0" borderId="18" xfId="199" applyFont="1" applyBorder="1" applyAlignment="1">
      <alignment horizontal="center" vertical="center"/>
      <protection/>
    </xf>
    <xf numFmtId="4" fontId="3" fillId="0" borderId="18" xfId="199" applyNumberFormat="1" applyFont="1" applyBorder="1" applyAlignment="1">
      <alignment vertical="center"/>
      <protection/>
    </xf>
    <xf numFmtId="43" fontId="39" fillId="0" borderId="19" xfId="264" applyFont="1" applyBorder="1" applyAlignment="1">
      <alignment vertical="center"/>
    </xf>
    <xf numFmtId="43" fontId="3" fillId="0" borderId="19" xfId="264" applyFont="1" applyBorder="1" applyAlignment="1">
      <alignment vertical="center"/>
    </xf>
    <xf numFmtId="49" fontId="3" fillId="0" borderId="25" xfId="199" applyNumberFormat="1" applyFont="1" applyBorder="1" applyAlignment="1">
      <alignment horizontal="center" vertical="center"/>
      <protection/>
    </xf>
    <xf numFmtId="0" fontId="3" fillId="0" borderId="26" xfId="199" applyFont="1" applyBorder="1" applyAlignment="1">
      <alignment vertical="center" wrapText="1"/>
      <protection/>
    </xf>
    <xf numFmtId="0" fontId="3" fillId="0" borderId="26" xfId="199" applyFont="1" applyBorder="1" applyAlignment="1">
      <alignment horizontal="center" vertical="center"/>
      <protection/>
    </xf>
    <xf numFmtId="4" fontId="3" fillId="0" borderId="26" xfId="199" applyNumberFormat="1" applyFont="1" applyBorder="1" applyAlignment="1">
      <alignment vertical="center"/>
      <protection/>
    </xf>
    <xf numFmtId="43" fontId="3" fillId="0" borderId="27" xfId="264" applyFont="1" applyBorder="1" applyAlignment="1">
      <alignment vertical="center"/>
    </xf>
    <xf numFmtId="0" fontId="3" fillId="0" borderId="18" xfId="199" applyFont="1" applyBorder="1" applyAlignment="1">
      <alignment horizontal="center" vertical="center" wrapText="1"/>
      <protection/>
    </xf>
    <xf numFmtId="0" fontId="40" fillId="0" borderId="18" xfId="199" applyFont="1" applyBorder="1" applyAlignment="1">
      <alignment horizontal="center" vertical="center"/>
      <protection/>
    </xf>
    <xf numFmtId="4" fontId="40" fillId="0" borderId="18" xfId="199" applyNumberFormat="1" applyFont="1" applyBorder="1" applyAlignment="1">
      <alignment vertical="center"/>
      <protection/>
    </xf>
    <xf numFmtId="43" fontId="40" fillId="0" borderId="19" xfId="264" applyFont="1" applyBorder="1" applyAlignment="1">
      <alignment vertical="center"/>
    </xf>
    <xf numFmtId="0" fontId="39" fillId="0" borderId="20" xfId="199" applyFont="1" applyBorder="1" applyAlignment="1">
      <alignment horizontal="right" vertical="center" wrapText="1"/>
      <protection/>
    </xf>
    <xf numFmtId="0" fontId="3" fillId="0" borderId="20" xfId="199" applyFont="1" applyBorder="1" applyAlignment="1">
      <alignment horizontal="center" vertical="center"/>
      <protection/>
    </xf>
    <xf numFmtId="0" fontId="3" fillId="0" borderId="20" xfId="199" applyFont="1" applyBorder="1" applyAlignment="1">
      <alignment vertical="center"/>
      <protection/>
    </xf>
    <xf numFmtId="4" fontId="3" fillId="0" borderId="20" xfId="199" applyNumberFormat="1" applyFont="1" applyBorder="1" applyAlignment="1">
      <alignment vertical="center"/>
      <protection/>
    </xf>
    <xf numFmtId="0" fontId="3" fillId="0" borderId="20" xfId="199" applyFont="1" applyBorder="1" applyAlignment="1">
      <alignment horizontal="right" vertical="center" wrapText="1"/>
      <protection/>
    </xf>
    <xf numFmtId="0" fontId="3" fillId="0" borderId="24" xfId="199" applyFont="1" applyBorder="1" applyAlignment="1">
      <alignment horizontal="center" vertical="center"/>
      <protection/>
    </xf>
    <xf numFmtId="0" fontId="38" fillId="0" borderId="24" xfId="199" applyFont="1" applyBorder="1" applyAlignment="1">
      <alignment vertical="center"/>
      <protection/>
    </xf>
    <xf numFmtId="0" fontId="3" fillId="0" borderId="28" xfId="199" applyFont="1" applyBorder="1" applyAlignment="1">
      <alignment horizontal="center" vertical="center"/>
      <protection/>
    </xf>
    <xf numFmtId="0" fontId="3" fillId="0" borderId="28" xfId="199" applyFont="1" applyBorder="1" applyAlignment="1">
      <alignment vertical="center"/>
      <protection/>
    </xf>
    <xf numFmtId="4" fontId="3" fillId="0" borderId="28" xfId="199" applyNumberFormat="1" applyFont="1" applyBorder="1" applyAlignment="1">
      <alignment vertical="center"/>
      <protection/>
    </xf>
    <xf numFmtId="0" fontId="3" fillId="0" borderId="28" xfId="199" applyFont="1" applyBorder="1" applyAlignment="1">
      <alignment horizontal="right" vertical="center" wrapText="1"/>
      <protection/>
    </xf>
    <xf numFmtId="0" fontId="3" fillId="0" borderId="29" xfId="199" applyFont="1" applyBorder="1" applyAlignment="1">
      <alignment horizontal="center" vertical="center"/>
      <protection/>
    </xf>
    <xf numFmtId="49" fontId="36" fillId="46" borderId="14" xfId="199" applyNumberFormat="1" applyFont="1" applyFill="1" applyBorder="1" applyAlignment="1">
      <alignment horizontal="center"/>
      <protection/>
    </xf>
    <xf numFmtId="49" fontId="37" fillId="46" borderId="14" xfId="199" applyNumberFormat="1" applyFont="1" applyFill="1" applyBorder="1" applyAlignment="1">
      <alignment horizontal="center"/>
      <protection/>
    </xf>
    <xf numFmtId="49" fontId="3" fillId="0" borderId="23" xfId="199" applyNumberFormat="1" applyFont="1" applyBorder="1" applyAlignment="1">
      <alignment horizontal="center" vertical="center" wrapText="1"/>
      <protection/>
    </xf>
    <xf numFmtId="49" fontId="39" fillId="0" borderId="23" xfId="199" applyNumberFormat="1" applyFont="1" applyBorder="1" applyAlignment="1">
      <alignment horizontal="center" vertical="center" wrapText="1"/>
      <protection/>
    </xf>
    <xf numFmtId="49" fontId="3" fillId="0" borderId="30" xfId="199" applyNumberFormat="1" applyFont="1" applyBorder="1" applyAlignment="1">
      <alignment horizontal="center" vertical="center" wrapText="1"/>
      <protection/>
    </xf>
    <xf numFmtId="0" fontId="3" fillId="0" borderId="20" xfId="199" applyFont="1" applyFill="1" applyBorder="1" applyAlignment="1">
      <alignment vertical="center" wrapText="1"/>
      <protection/>
    </xf>
    <xf numFmtId="4" fontId="3" fillId="0" borderId="20" xfId="199" applyNumberFormat="1" applyFont="1" applyFill="1" applyBorder="1" applyAlignment="1">
      <alignment vertical="center"/>
      <protection/>
    </xf>
    <xf numFmtId="49" fontId="34" fillId="46" borderId="0" xfId="199" applyNumberFormat="1" applyFont="1" applyFill="1" applyBorder="1" applyAlignment="1">
      <alignment/>
      <protection/>
    </xf>
    <xf numFmtId="49" fontId="34" fillId="46" borderId="13" xfId="199" applyNumberFormat="1" applyFont="1" applyFill="1" applyBorder="1" applyAlignment="1">
      <alignment/>
      <protection/>
    </xf>
    <xf numFmtId="0" fontId="34" fillId="0" borderId="2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0" fillId="0" borderId="0" xfId="198" applyFont="1" applyBorder="1" applyAlignment="1">
      <alignment/>
      <protection/>
    </xf>
    <xf numFmtId="0" fontId="0" fillId="0" borderId="0" xfId="198" applyFont="1" applyBorder="1" applyAlignment="1">
      <alignment/>
      <protection/>
    </xf>
    <xf numFmtId="3" fontId="0" fillId="0" borderId="0" xfId="198" applyNumberFormat="1" applyFont="1">
      <alignment/>
      <protection/>
    </xf>
    <xf numFmtId="3" fontId="3" fillId="0" borderId="0" xfId="198" applyNumberFormat="1" applyFont="1" applyAlignment="1">
      <alignment horizontal="center"/>
      <protection/>
    </xf>
    <xf numFmtId="4" fontId="3" fillId="0" borderId="0" xfId="198" applyNumberFormat="1" applyFont="1">
      <alignment/>
      <protection/>
    </xf>
    <xf numFmtId="166" fontId="3" fillId="0" borderId="0" xfId="198" applyNumberFormat="1" applyFont="1">
      <alignment/>
      <protection/>
    </xf>
    <xf numFmtId="4" fontId="0" fillId="0" borderId="0" xfId="198" applyNumberFormat="1">
      <alignment/>
      <protection/>
    </xf>
    <xf numFmtId="4" fontId="41" fillId="0" borderId="0" xfId="198" applyNumberFormat="1" applyFont="1">
      <alignment vertical="top"/>
      <protection/>
    </xf>
    <xf numFmtId="4" fontId="0" fillId="0" borderId="0" xfId="198" applyNumberFormat="1" applyFont="1" applyAlignment="1">
      <alignment horizontal="center"/>
      <protection/>
    </xf>
    <xf numFmtId="4" fontId="3" fillId="0" borderId="0" xfId="198" applyNumberFormat="1" applyFont="1" applyAlignment="1">
      <alignment horizontal="left"/>
      <protection/>
    </xf>
    <xf numFmtId="191" fontId="34" fillId="0" borderId="34" xfId="0" applyNumberFormat="1" applyFont="1" applyBorder="1" applyAlignment="1">
      <alignment vertical="center"/>
    </xf>
    <xf numFmtId="191" fontId="34" fillId="0" borderId="35" xfId="0" applyNumberFormat="1" applyFont="1" applyBorder="1" applyAlignment="1">
      <alignment vertical="center"/>
    </xf>
    <xf numFmtId="191" fontId="34" fillId="0" borderId="36" xfId="0" applyNumberFormat="1" applyFont="1" applyBorder="1" applyAlignment="1">
      <alignment vertical="center"/>
    </xf>
    <xf numFmtId="4" fontId="34" fillId="0" borderId="0" xfId="198" applyNumberFormat="1" applyFont="1" applyFill="1">
      <alignment/>
      <protection/>
    </xf>
    <xf numFmtId="3" fontId="0" fillId="0" borderId="0" xfId="198" applyNumberFormat="1">
      <alignment/>
      <protection/>
    </xf>
    <xf numFmtId="4" fontId="38" fillId="0" borderId="0" xfId="198" applyNumberFormat="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191" fontId="34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3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0" fillId="9" borderId="16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4" fillId="2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198" applyNumberFormat="1" applyAlignment="1">
      <alignment horizontal="center"/>
      <protection/>
    </xf>
    <xf numFmtId="4" fontId="36" fillId="46" borderId="0" xfId="199" applyNumberFormat="1" applyFont="1" applyFill="1" applyBorder="1" applyAlignment="1">
      <alignment/>
      <protection/>
    </xf>
    <xf numFmtId="4" fontId="37" fillId="46" borderId="0" xfId="199" applyNumberFormat="1" applyFont="1" applyFill="1" applyBorder="1" applyAlignment="1">
      <alignment/>
      <protection/>
    </xf>
    <xf numFmtId="4" fontId="34" fillId="46" borderId="0" xfId="199" applyNumberFormat="1" applyFont="1" applyFill="1" applyBorder="1" applyAlignment="1">
      <alignment/>
      <protection/>
    </xf>
    <xf numFmtId="4" fontId="35" fillId="0" borderId="16" xfId="264" applyNumberFormat="1" applyFont="1" applyBorder="1" applyAlignment="1">
      <alignment horizontal="center" vertical="center"/>
    </xf>
    <xf numFmtId="10" fontId="39" fillId="0" borderId="20" xfId="259" applyNumberFormat="1" applyFont="1" applyBorder="1" applyAlignment="1">
      <alignment horizontal="center" vertical="center"/>
    </xf>
    <xf numFmtId="4" fontId="3" fillId="0" borderId="0" xfId="198" applyNumberFormat="1" applyFont="1" applyAlignment="1">
      <alignment horizontal="center"/>
      <protection/>
    </xf>
    <xf numFmtId="0" fontId="0" fillId="0" borderId="0" xfId="199" applyFont="1">
      <alignment/>
      <protection/>
    </xf>
    <xf numFmtId="49" fontId="34" fillId="46" borderId="0" xfId="199" applyNumberFormat="1" applyFont="1" applyFill="1" applyBorder="1" applyAlignment="1">
      <alignment horizontal="left"/>
      <protection/>
    </xf>
    <xf numFmtId="49" fontId="3" fillId="0" borderId="23" xfId="199" applyNumberFormat="1" applyFont="1" applyBorder="1" applyAlignment="1">
      <alignment horizontal="center" vertical="center"/>
      <protection/>
    </xf>
    <xf numFmtId="0" fontId="3" fillId="0" borderId="20" xfId="199" applyFont="1" applyBorder="1" applyAlignment="1">
      <alignment vertical="center" wrapText="1"/>
      <protection/>
    </xf>
    <xf numFmtId="0" fontId="3" fillId="0" borderId="20" xfId="199" applyFont="1" applyBorder="1" applyAlignment="1">
      <alignment horizontal="center" vertical="center"/>
      <protection/>
    </xf>
    <xf numFmtId="2" fontId="3" fillId="0" borderId="20" xfId="199" applyNumberFormat="1" applyFont="1" applyBorder="1" applyAlignment="1">
      <alignment vertical="center"/>
      <protection/>
    </xf>
    <xf numFmtId="4" fontId="3" fillId="0" borderId="20" xfId="199" applyNumberFormat="1" applyFont="1" applyBorder="1" applyAlignment="1">
      <alignment vertical="center"/>
      <protection/>
    </xf>
    <xf numFmtId="43" fontId="3" fillId="0" borderId="24" xfId="264" applyFont="1" applyBorder="1" applyAlignment="1">
      <alignment vertical="center"/>
    </xf>
    <xf numFmtId="0" fontId="3" fillId="0" borderId="20" xfId="199" applyFont="1" applyBorder="1" applyAlignment="1">
      <alignment horizontal="center" vertical="center"/>
      <protection/>
    </xf>
    <xf numFmtId="43" fontId="0" fillId="0" borderId="0" xfId="199" applyNumberFormat="1">
      <alignment/>
      <protection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Border="1" applyAlignment="1">
      <alignment/>
    </xf>
    <xf numFmtId="0" fontId="34" fillId="46" borderId="0" xfId="199" applyFont="1" applyFill="1" applyBorder="1" applyAlignment="1">
      <alignment/>
      <protection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39" fillId="0" borderId="0" xfId="0" applyNumberFormat="1" applyFont="1" applyAlignment="1">
      <alignment vertical="top"/>
    </xf>
    <xf numFmtId="0" fontId="39" fillId="0" borderId="0" xfId="0" applyFont="1" applyBorder="1" applyAlignment="1">
      <alignment/>
    </xf>
    <xf numFmtId="10" fontId="34" fillId="46" borderId="0" xfId="259" applyNumberFormat="1" applyFont="1" applyFill="1" applyBorder="1" applyAlignment="1">
      <alignment horizontal="left"/>
    </xf>
    <xf numFmtId="0" fontId="39" fillId="0" borderId="37" xfId="0" applyFont="1" applyBorder="1" applyAlignment="1">
      <alignment/>
    </xf>
    <xf numFmtId="0" fontId="39" fillId="35" borderId="40" xfId="0" applyFont="1" applyFill="1" applyBorder="1" applyAlignment="1">
      <alignment vertical="justify"/>
    </xf>
    <xf numFmtId="0" fontId="39" fillId="35" borderId="41" xfId="0" applyFont="1" applyFill="1" applyBorder="1" applyAlignment="1">
      <alignment vertical="justify"/>
    </xf>
    <xf numFmtId="49" fontId="3" fillId="0" borderId="16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10" fontId="3" fillId="0" borderId="16" xfId="0" applyNumberFormat="1" applyFont="1" applyBorder="1" applyAlignment="1">
      <alignment horizontal="center" vertical="center"/>
    </xf>
    <xf numFmtId="4" fontId="3" fillId="20" borderId="16" xfId="0" applyNumberFormat="1" applyFont="1" applyFill="1" applyBorder="1" applyAlignment="1">
      <alignment horizontal="center" vertical="center"/>
    </xf>
    <xf numFmtId="10" fontId="3" fillId="2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38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4" fontId="39" fillId="0" borderId="44" xfId="0" applyNumberFormat="1" applyFont="1" applyBorder="1" applyAlignment="1">
      <alignment vertical="center"/>
    </xf>
    <xf numFmtId="10" fontId="39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/>
    </xf>
    <xf numFmtId="4" fontId="39" fillId="0" borderId="16" xfId="0" applyNumberFormat="1" applyFont="1" applyBorder="1" applyAlignment="1">
      <alignment horizontal="center" vertical="center"/>
    </xf>
    <xf numFmtId="10" fontId="39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right" indent="4"/>
    </xf>
    <xf numFmtId="0" fontId="3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4" fillId="0" borderId="45" xfId="198" applyNumberFormat="1" applyFont="1" applyBorder="1" applyAlignment="1">
      <alignment horizontal="center"/>
      <protection/>
    </xf>
    <xf numFmtId="4" fontId="34" fillId="0" borderId="41" xfId="198" applyNumberFormat="1" applyFont="1" applyBorder="1" applyAlignment="1">
      <alignment horizontal="center"/>
      <protection/>
    </xf>
    <xf numFmtId="0" fontId="39" fillId="0" borderId="0" xfId="0" applyFont="1" applyBorder="1" applyAlignment="1">
      <alignment/>
    </xf>
    <xf numFmtId="4" fontId="34" fillId="0" borderId="40" xfId="198" applyNumberFormat="1" applyFont="1" applyBorder="1" applyAlignment="1">
      <alignment horizontal="center"/>
      <protection/>
    </xf>
    <xf numFmtId="178" fontId="34" fillId="46" borderId="14" xfId="199" applyNumberFormat="1" applyFont="1" applyFill="1" applyBorder="1" applyAlignment="1">
      <alignment horizontal="center"/>
      <protection/>
    </xf>
    <xf numFmtId="178" fontId="34" fillId="46" borderId="0" xfId="199" applyNumberFormat="1" applyFont="1" applyFill="1" applyBorder="1" applyAlignment="1">
      <alignment horizontal="center"/>
      <protection/>
    </xf>
    <xf numFmtId="178" fontId="34" fillId="46" borderId="13" xfId="199" applyNumberFormat="1" applyFont="1" applyFill="1" applyBorder="1" applyAlignment="1">
      <alignment horizontal="center"/>
      <protection/>
    </xf>
    <xf numFmtId="0" fontId="34" fillId="46" borderId="0" xfId="199" applyFont="1" applyFill="1" applyBorder="1" applyAlignment="1">
      <alignment horizontal="left"/>
      <protection/>
    </xf>
    <xf numFmtId="0" fontId="34" fillId="46" borderId="13" xfId="199" applyFont="1" applyFill="1" applyBorder="1" applyAlignment="1">
      <alignment horizontal="left"/>
      <protection/>
    </xf>
    <xf numFmtId="49" fontId="34" fillId="46" borderId="0" xfId="199" applyNumberFormat="1" applyFont="1" applyFill="1" applyBorder="1" applyAlignment="1">
      <alignment horizontal="left"/>
      <protection/>
    </xf>
    <xf numFmtId="49" fontId="34" fillId="46" borderId="13" xfId="199" applyNumberFormat="1" applyFont="1" applyFill="1" applyBorder="1" applyAlignment="1">
      <alignment horizontal="left"/>
      <protection/>
    </xf>
    <xf numFmtId="0" fontId="43" fillId="0" borderId="0" xfId="0" applyFont="1" applyAlignment="1">
      <alignment horizontal="center"/>
    </xf>
    <xf numFmtId="196" fontId="34" fillId="46" borderId="0" xfId="199" applyNumberFormat="1" applyFont="1" applyFill="1" applyBorder="1" applyAlignment="1">
      <alignment horizontal="left"/>
      <protection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35" borderId="50" xfId="0" applyFont="1" applyFill="1" applyBorder="1" applyAlignment="1">
      <alignment horizontal="center" vertical="center"/>
    </xf>
    <xf numFmtId="0" fontId="39" fillId="35" borderId="39" xfId="0" applyFont="1" applyFill="1" applyBorder="1" applyAlignment="1">
      <alignment horizontal="center" vertical="center"/>
    </xf>
    <xf numFmtId="0" fontId="39" fillId="35" borderId="40" xfId="0" applyFont="1" applyFill="1" applyBorder="1" applyAlignment="1">
      <alignment horizontal="center" vertical="center"/>
    </xf>
    <xf numFmtId="0" fontId="39" fillId="35" borderId="41" xfId="0" applyFont="1" applyFill="1" applyBorder="1" applyAlignment="1">
      <alignment horizontal="center" vertical="center"/>
    </xf>
    <xf numFmtId="0" fontId="39" fillId="35" borderId="38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35" borderId="38" xfId="0" applyFont="1" applyFill="1" applyBorder="1" applyAlignment="1">
      <alignment horizontal="center" vertical="center" textRotation="91"/>
    </xf>
    <xf numFmtId="0" fontId="39" fillId="35" borderId="50" xfId="0" applyFont="1" applyFill="1" applyBorder="1" applyAlignment="1">
      <alignment horizontal="center" vertical="center" textRotation="91"/>
    </xf>
    <xf numFmtId="0" fontId="39" fillId="35" borderId="39" xfId="0" applyFont="1" applyFill="1" applyBorder="1" applyAlignment="1">
      <alignment horizontal="center" vertical="center" textRotation="91"/>
    </xf>
    <xf numFmtId="14" fontId="39" fillId="0" borderId="37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indent="3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4" fontId="34" fillId="0" borderId="40" xfId="0" applyNumberFormat="1" applyFont="1" applyBorder="1" applyAlignment="1">
      <alignment horizontal="center"/>
    </xf>
    <xf numFmtId="4" fontId="34" fillId="0" borderId="41" xfId="0" applyNumberFormat="1" applyFont="1" applyBorder="1" applyAlignment="1">
      <alignment horizontal="center"/>
    </xf>
    <xf numFmtId="4" fontId="38" fillId="0" borderId="38" xfId="0" applyNumberFormat="1" applyFont="1" applyFill="1" applyBorder="1" applyAlignment="1">
      <alignment horizontal="center" vertical="center"/>
    </xf>
    <xf numFmtId="4" fontId="38" fillId="0" borderId="50" xfId="0" applyNumberFormat="1" applyFon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4" fontId="0" fillId="9" borderId="38" xfId="0" applyNumberFormat="1" applyFill="1" applyBorder="1" applyAlignment="1">
      <alignment horizontal="center" vertical="center"/>
    </xf>
    <xf numFmtId="4" fontId="0" fillId="9" borderId="50" xfId="0" applyNumberFormat="1" applyFill="1" applyBorder="1" applyAlignment="1">
      <alignment horizontal="center" vertical="center"/>
    </xf>
    <xf numFmtId="4" fontId="0" fillId="9" borderId="39" xfId="0" applyNumberForma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center" vertical="center"/>
    </xf>
    <xf numFmtId="4" fontId="0" fillId="9" borderId="38" xfId="0" applyNumberFormat="1" applyFont="1" applyFill="1" applyBorder="1" applyAlignment="1">
      <alignment horizontal="center" vertical="center"/>
    </xf>
    <xf numFmtId="4" fontId="0" fillId="9" borderId="50" xfId="0" applyNumberFormat="1" applyFont="1" applyFill="1" applyBorder="1" applyAlignment="1">
      <alignment horizontal="center" vertical="center"/>
    </xf>
    <xf numFmtId="4" fontId="0" fillId="9" borderId="39" xfId="0" applyNumberFormat="1" applyFon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justify"/>
    </xf>
    <xf numFmtId="4" fontId="0" fillId="0" borderId="50" xfId="0" applyNumberFormat="1" applyFill="1" applyBorder="1" applyAlignment="1">
      <alignment horizontal="center" vertical="justify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4" fontId="3" fillId="0" borderId="0" xfId="198" applyNumberFormat="1" applyFont="1" applyAlignment="1">
      <alignment horizontal="center" vertical="center"/>
      <protection/>
    </xf>
    <xf numFmtId="4" fontId="39" fillId="0" borderId="38" xfId="0" applyNumberFormat="1" applyFont="1" applyBorder="1" applyAlignment="1">
      <alignment horizontal="center" vertical="center"/>
    </xf>
    <xf numFmtId="4" fontId="39" fillId="0" borderId="39" xfId="0" applyNumberFormat="1" applyFont="1" applyBorder="1" applyAlignment="1">
      <alignment horizontal="center" vertical="center"/>
    </xf>
    <xf numFmtId="4" fontId="39" fillId="0" borderId="38" xfId="0" applyNumberFormat="1" applyFont="1" applyBorder="1" applyAlignment="1">
      <alignment horizontal="center" vertical="justify"/>
    </xf>
    <xf numFmtId="4" fontId="39" fillId="0" borderId="39" xfId="0" applyNumberFormat="1" applyFont="1" applyBorder="1" applyAlignment="1">
      <alignment horizontal="center" vertical="justify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4" fontId="38" fillId="0" borderId="0" xfId="198" applyNumberFormat="1" applyFont="1" applyAlignment="1">
      <alignment horizontal="center" vertical="center"/>
      <protection/>
    </xf>
    <xf numFmtId="4" fontId="38" fillId="0" borderId="0" xfId="198" applyNumberFormat="1" applyFont="1" applyBorder="1" applyAlignment="1">
      <alignment horizontal="center" vertical="center"/>
      <protection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8" fillId="0" borderId="38" xfId="0" applyNumberFormat="1" applyFont="1" applyFill="1" applyBorder="1" applyAlignment="1">
      <alignment horizontal="center" vertical="justify"/>
    </xf>
    <xf numFmtId="4" fontId="38" fillId="0" borderId="50" xfId="0" applyNumberFormat="1" applyFont="1" applyFill="1" applyBorder="1" applyAlignment="1">
      <alignment horizontal="center" vertical="justify"/>
    </xf>
    <xf numFmtId="4" fontId="3" fillId="0" borderId="51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42" fillId="0" borderId="38" xfId="0" applyNumberFormat="1" applyFont="1" applyBorder="1" applyAlignment="1">
      <alignment horizontal="center" vertical="center"/>
    </xf>
    <xf numFmtId="4" fontId="42" fillId="0" borderId="39" xfId="0" applyNumberFormat="1" applyFont="1" applyBorder="1" applyAlignment="1">
      <alignment horizontal="center" vertical="center"/>
    </xf>
    <xf numFmtId="4" fontId="39" fillId="0" borderId="50" xfId="0" applyNumberFormat="1" applyFont="1" applyBorder="1" applyAlignment="1">
      <alignment horizontal="center" vertical="center"/>
    </xf>
    <xf numFmtId="4" fontId="34" fillId="0" borderId="45" xfId="0" applyNumberFormat="1" applyFont="1" applyBorder="1" applyAlignment="1">
      <alignment horizontal="center"/>
    </xf>
    <xf numFmtId="4" fontId="3" fillId="9" borderId="38" xfId="0" applyNumberFormat="1" applyFont="1" applyFill="1" applyBorder="1" applyAlignment="1">
      <alignment horizontal="center" vertical="center"/>
    </xf>
    <xf numFmtId="4" fontId="3" fillId="9" borderId="50" xfId="0" applyNumberFormat="1" applyFont="1" applyFill="1" applyBorder="1" applyAlignment="1">
      <alignment horizontal="center" vertical="center"/>
    </xf>
    <xf numFmtId="4" fontId="3" fillId="9" borderId="39" xfId="0" applyNumberFormat="1" applyFont="1" applyFill="1" applyBorder="1" applyAlignment="1">
      <alignment horizontal="center" vertical="center"/>
    </xf>
  </cellXfs>
  <cellStyles count="279">
    <cellStyle name="Normal" xfId="0"/>
    <cellStyle name="_1  Academia de Policia Memoria" xfId="15"/>
    <cellStyle name="_1  Academia de Policia Memoria_Administração  LIDERTEX" xfId="16"/>
    <cellStyle name="_1  Academia de Policia Memoria_Galpão  LIDERTEX memória" xfId="17"/>
    <cellStyle name="_1  Academia de Policia Memoria_Guarita LIDERTEX" xfId="18"/>
    <cellStyle name="_1  Academia de Policia Memoria_LIDERTEX - ORÇAMENTO E CRONOGRAMA" xfId="19"/>
    <cellStyle name="_1  Academia de Policia Memoria_PQ TECNOLÓGICO_ADITIVO N.01_ENGEBRAS_(Comentado pela Engª Mirtes)" xfId="20"/>
    <cellStyle name="_1  Academia de Policia Memoria_Refeitório  LIDERTEX" xfId="21"/>
    <cellStyle name="_Centro Comunitário de Buenolândia MEMORIA DE ALVENARIA" xfId="22"/>
    <cellStyle name="_Flex Memoria" xfId="23"/>
    <cellStyle name="_Flex Memoria_Administração  LIDERTEX" xfId="24"/>
    <cellStyle name="_Flex Memoria_Galpão  LIDERTEX memória" xfId="25"/>
    <cellStyle name="_Flex Memoria_Guarita LIDERTEX" xfId="26"/>
    <cellStyle name="_Flex Memoria_LIDERTEX - ORÇAMENTO E CRONOGRAMA" xfId="27"/>
    <cellStyle name="_Flex Memoria_PQ TECNOLÓGICO_ADITIVO N.01_ENGEBRAS_(Comentado pela Engª Mirtes)" xfId="28"/>
    <cellStyle name="_Flex Memoria_Refeitório  LIDERTEX" xfId="29"/>
    <cellStyle name="_Hotel Canoas" xfId="30"/>
    <cellStyle name="_Planilha alvenaria SALÃO DE EVENTOS BALNEÁRIO CACHOEIRA GRANDE" xfId="31"/>
    <cellStyle name="_Planilha para levantamento de alvenaria" xfId="32"/>
    <cellStyle name="_Planilha para levantamento de revestimento" xfId="33"/>
    <cellStyle name="_Planilha Revestimentos SALÃO DE EVENTOS BALNEÁRIO CACHOEIRA GRANDE" xfId="34"/>
    <cellStyle name="_PLANILHAS  VESTIÁRIOS CACHOEIRA GRANDE" xfId="35"/>
    <cellStyle name="_PLANILHAS GUARITA.PORTARIA BALNEÁRIO CACHOEIRA GRANDE" xfId="36"/>
    <cellStyle name="_SENAC Caldas Novas Memoria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Ênfase1" xfId="44"/>
    <cellStyle name="20% - Ênfase2" xfId="45"/>
    <cellStyle name="20% - Ênfase3" xfId="46"/>
    <cellStyle name="20% - Ênfase4" xfId="47"/>
    <cellStyle name="20% - Ênfase5" xfId="48"/>
    <cellStyle name="20% - Ênfas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Ênfase1" xfId="56"/>
    <cellStyle name="40% - Ênfase2" xfId="57"/>
    <cellStyle name="40% - Ênfase3" xfId="58"/>
    <cellStyle name="40% - Ênfase4" xfId="59"/>
    <cellStyle name="40% - Ênfase5" xfId="60"/>
    <cellStyle name="40% - Ênfase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Ênfase1" xfId="68"/>
    <cellStyle name="60% - Ênfase2" xfId="69"/>
    <cellStyle name="60% - Ênfase3" xfId="70"/>
    <cellStyle name="60% - Ênfase4" xfId="71"/>
    <cellStyle name="60% - Ênfase5" xfId="72"/>
    <cellStyle name="60% - Ênfase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rrafo de 5" xfId="80"/>
    <cellStyle name="Bad" xfId="81"/>
    <cellStyle name="Bom" xfId="82"/>
    <cellStyle name="Calculation" xfId="83"/>
    <cellStyle name="Cálculo" xfId="84"/>
    <cellStyle name="Célula de Verificação" xfId="85"/>
    <cellStyle name="Célula Vinculada" xfId="86"/>
    <cellStyle name="Check Cell" xfId="87"/>
    <cellStyle name="Data" xfId="88"/>
    <cellStyle name="Ênfase1" xfId="89"/>
    <cellStyle name="Ênfase2" xfId="90"/>
    <cellStyle name="Ênfase3" xfId="91"/>
    <cellStyle name="Ênfase4" xfId="92"/>
    <cellStyle name="Ênfase5" xfId="93"/>
    <cellStyle name="Ênfase6" xfId="94"/>
    <cellStyle name="Entrada" xfId="95"/>
    <cellStyle name="Estilo 1" xfId="96"/>
    <cellStyle name="Euro" xfId="97"/>
    <cellStyle name="Excel Built-in Normal" xfId="98"/>
    <cellStyle name="Excel_BuiltIn_Comma" xfId="99"/>
    <cellStyle name="Explanatory Text" xfId="100"/>
    <cellStyle name="Fixo" xfId="101"/>
    <cellStyle name="Good" xfId="102"/>
    <cellStyle name="Heading" xfId="103"/>
    <cellStyle name="Heading 1" xfId="104"/>
    <cellStyle name="Heading 2" xfId="105"/>
    <cellStyle name="Heading 3" xfId="106"/>
    <cellStyle name="Heading 4" xfId="107"/>
    <cellStyle name="Heading1" xfId="108"/>
    <cellStyle name="Hyperlink" xfId="109"/>
    <cellStyle name="Hyperlink 2" xfId="110"/>
    <cellStyle name="Followed Hyperlink" xfId="111"/>
    <cellStyle name="Incorreto" xfId="112"/>
    <cellStyle name="Input" xfId="113"/>
    <cellStyle name="Linked Cell" xfId="114"/>
    <cellStyle name="Currency" xfId="115"/>
    <cellStyle name="Currency [0]" xfId="116"/>
    <cellStyle name="Moeda 2" xfId="117"/>
    <cellStyle name="Moeda 2 2" xfId="118"/>
    <cellStyle name="Moeda 3" xfId="119"/>
    <cellStyle name="Moeda 4" xfId="120"/>
    <cellStyle name="Moeda 5" xfId="121"/>
    <cellStyle name="Neutra" xfId="122"/>
    <cellStyle name="Neutral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134"/>
    <cellStyle name="Normal 2 10" xfId="135"/>
    <cellStyle name="Normal 2 11" xfId="136"/>
    <cellStyle name="Normal 2 12" xfId="137"/>
    <cellStyle name="Normal 2 13" xfId="138"/>
    <cellStyle name="Normal 2 14" xfId="139"/>
    <cellStyle name="Normal 2 15" xfId="140"/>
    <cellStyle name="Normal 2 16" xfId="141"/>
    <cellStyle name="Normal 2 17" xfId="142"/>
    <cellStyle name="Normal 2 18" xfId="143"/>
    <cellStyle name="Normal 2 19" xfId="144"/>
    <cellStyle name="Normal 2 2" xfId="145"/>
    <cellStyle name="Normal 2 20" xfId="146"/>
    <cellStyle name="Normal 2 3" xfId="147"/>
    <cellStyle name="Normal 2 4" xfId="148"/>
    <cellStyle name="Normal 2 5" xfId="149"/>
    <cellStyle name="Normal 2 6" xfId="150"/>
    <cellStyle name="Normal 2 7" xfId="151"/>
    <cellStyle name="Normal 2 8" xfId="152"/>
    <cellStyle name="Normal 2 9" xfId="153"/>
    <cellStyle name="Normal 2_1  Academia de Policia Memoria" xfId="154"/>
    <cellStyle name="Normal 20" xfId="155"/>
    <cellStyle name="Normal 21" xfId="156"/>
    <cellStyle name="Normal 22" xfId="157"/>
    <cellStyle name="Normal 23" xfId="158"/>
    <cellStyle name="Normal 24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0" xfId="177"/>
    <cellStyle name="Normal 41" xfId="178"/>
    <cellStyle name="Normal 42" xfId="179"/>
    <cellStyle name="Normal 43" xfId="180"/>
    <cellStyle name="Normal 44" xfId="181"/>
    <cellStyle name="Normal 45" xfId="182"/>
    <cellStyle name="Normal 46" xfId="183"/>
    <cellStyle name="Normal 47" xfId="184"/>
    <cellStyle name="Normal 48" xfId="185"/>
    <cellStyle name="Normal 49" xfId="186"/>
    <cellStyle name="Normal 5" xfId="187"/>
    <cellStyle name="Normal 50" xfId="188"/>
    <cellStyle name="Normal 51" xfId="189"/>
    <cellStyle name="Normal 52" xfId="190"/>
    <cellStyle name="Normal 53" xfId="191"/>
    <cellStyle name="Normal 54" xfId="192"/>
    <cellStyle name="Normal 55" xfId="193"/>
    <cellStyle name="Normal 6" xfId="194"/>
    <cellStyle name="Normal 7" xfId="195"/>
    <cellStyle name="Normal 8" xfId="196"/>
    <cellStyle name="Normal 9" xfId="197"/>
    <cellStyle name="Normal_1  Academia de Policia Memoria" xfId="198"/>
    <cellStyle name="Normal_Orçamento Centro Comercial Lago das Acácias" xfId="199"/>
    <cellStyle name="Nota" xfId="200"/>
    <cellStyle name="Nota 10" xfId="201"/>
    <cellStyle name="Nota 11" xfId="202"/>
    <cellStyle name="Nota 12" xfId="203"/>
    <cellStyle name="Nota 13" xfId="204"/>
    <cellStyle name="Nota 14" xfId="205"/>
    <cellStyle name="Nota 15" xfId="206"/>
    <cellStyle name="Nota 16" xfId="207"/>
    <cellStyle name="Nota 17" xfId="208"/>
    <cellStyle name="Nota 18" xfId="209"/>
    <cellStyle name="Nota 19" xfId="210"/>
    <cellStyle name="Nota 2" xfId="211"/>
    <cellStyle name="Nota 20" xfId="212"/>
    <cellStyle name="Nota 21" xfId="213"/>
    <cellStyle name="Nota 22" xfId="214"/>
    <cellStyle name="Nota 23" xfId="215"/>
    <cellStyle name="Nota 24" xfId="216"/>
    <cellStyle name="Nota 25" xfId="217"/>
    <cellStyle name="Nota 26" xfId="218"/>
    <cellStyle name="Nota 27" xfId="219"/>
    <cellStyle name="Nota 28" xfId="220"/>
    <cellStyle name="Nota 29" xfId="221"/>
    <cellStyle name="Nota 3" xfId="222"/>
    <cellStyle name="Nota 30" xfId="223"/>
    <cellStyle name="Nota 31" xfId="224"/>
    <cellStyle name="Nota 32" xfId="225"/>
    <cellStyle name="Nota 33" xfId="226"/>
    <cellStyle name="Nota 34" xfId="227"/>
    <cellStyle name="Nota 35" xfId="228"/>
    <cellStyle name="Nota 36" xfId="229"/>
    <cellStyle name="Nota 37" xfId="230"/>
    <cellStyle name="Nota 38" xfId="231"/>
    <cellStyle name="Nota 39" xfId="232"/>
    <cellStyle name="Nota 4" xfId="233"/>
    <cellStyle name="Nota 40" xfId="234"/>
    <cellStyle name="Nota 41" xfId="235"/>
    <cellStyle name="Nota 42" xfId="236"/>
    <cellStyle name="Nota 43" xfId="237"/>
    <cellStyle name="Nota 44" xfId="238"/>
    <cellStyle name="Nota 45" xfId="239"/>
    <cellStyle name="Nota 46" xfId="240"/>
    <cellStyle name="Nota 47" xfId="241"/>
    <cellStyle name="Nota 48" xfId="242"/>
    <cellStyle name="Nota 49" xfId="243"/>
    <cellStyle name="Nota 5" xfId="244"/>
    <cellStyle name="Nota 50" xfId="245"/>
    <cellStyle name="Nota 51" xfId="246"/>
    <cellStyle name="Nota 52" xfId="247"/>
    <cellStyle name="Nota 53" xfId="248"/>
    <cellStyle name="Nota 54" xfId="249"/>
    <cellStyle name="Nota 55" xfId="250"/>
    <cellStyle name="Nota 6" xfId="251"/>
    <cellStyle name="Nota 7" xfId="252"/>
    <cellStyle name="Nota 8" xfId="253"/>
    <cellStyle name="Nota 9" xfId="254"/>
    <cellStyle name="Note" xfId="255"/>
    <cellStyle name="Output" xfId="256"/>
    <cellStyle name="Percentual" xfId="257"/>
    <cellStyle name="Ponto" xfId="258"/>
    <cellStyle name="Percent" xfId="259"/>
    <cellStyle name="Porcentagem 2" xfId="260"/>
    <cellStyle name="Result" xfId="261"/>
    <cellStyle name="Result2" xfId="262"/>
    <cellStyle name="Saída" xfId="263"/>
    <cellStyle name="Comma" xfId="264"/>
    <cellStyle name="Comma [0]" xfId="265"/>
    <cellStyle name="Separador de milhares 2" xfId="266"/>
    <cellStyle name="Separador de milhares 2 2" xfId="267"/>
    <cellStyle name="Separador de milhares 3" xfId="268"/>
    <cellStyle name="Separador de milhares 3 2" xfId="269"/>
    <cellStyle name="Separador de milhares 4" xfId="270"/>
    <cellStyle name="Separador de milhares 5" xfId="271"/>
    <cellStyle name="Separador de milhares 6" xfId="272"/>
    <cellStyle name="Separador de milhares 7" xfId="273"/>
    <cellStyle name="Separador de milhares 8" xfId="274"/>
    <cellStyle name="Texto de Aviso" xfId="275"/>
    <cellStyle name="Texto Explicativo" xfId="276"/>
    <cellStyle name="Title" xfId="277"/>
    <cellStyle name="Título" xfId="278"/>
    <cellStyle name="Título 1" xfId="279"/>
    <cellStyle name="Título 1 1" xfId="280"/>
    <cellStyle name="Título 1_A U D I T Ó R I O  -  S E S C    J A T A I  -  A U D I T Ó R I O" xfId="281"/>
    <cellStyle name="Título 2" xfId="282"/>
    <cellStyle name="Título 3" xfId="283"/>
    <cellStyle name="Título 4" xfId="284"/>
    <cellStyle name="Título_A U D I T Ó R I O  -  S E S C    J A T A I  -  A U D I T Ó R I O" xfId="285"/>
    <cellStyle name="Titulo1" xfId="286"/>
    <cellStyle name="Titulo2" xfId="287"/>
    <cellStyle name="Total" xfId="288"/>
    <cellStyle name="UN" xfId="289"/>
    <cellStyle name="UN." xfId="290"/>
    <cellStyle name="Vírgula 2" xfId="291"/>
    <cellStyle name="Warning Text" xfId="2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28575</xdr:rowOff>
    </xdr:from>
    <xdr:to>
      <xdr:col>5</xdr:col>
      <xdr:colOff>38100</xdr:colOff>
      <xdr:row>5</xdr:row>
      <xdr:rowOff>142875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446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4</xdr:col>
      <xdr:colOff>647700</xdr:colOff>
      <xdr:row>7</xdr:row>
      <xdr:rowOff>85725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446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Documents%20and%20Settings\Luis%20Tar\Meus%20documentos\Downloads\MEMO%20CALCULO%20-%20CASA%20DE%20ESTUDANTE%2021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%20de%20Policia\PREDIO%201%20-%20STAND%20DE%20TIROS\MEMO%20CALCULO%20-%20CASA%20DE%20ESTUDANTE%2021.09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%20de%20Queimaduras%20An&#225;polis\MEMO%20CALCULO%20-%20CASA%20DE%20ESTUDANTE%2021.09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eletrico\HVAC_PQ_TEC_LABORATORIOS__PLANILHA_ORCAMENTARIA_11_10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AR%20CONDICIONADO\AR%20CONDICIONADO%20PLANILHA%20ORCAMENTA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Tar\Desktop\TARQUINIO%202011\FAGM%20AN&#193;POLIS\LIDERTEX\MEMO%20CALCULO%20-%20CASA%20DE%20ESTUDANTE%2021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BreakPreview" zoomScaleSheetLayoutView="100" workbookViewId="0" topLeftCell="A1">
      <selection activeCell="T21" sqref="T21:T23"/>
    </sheetView>
  </sheetViews>
  <sheetFormatPr defaultColWidth="9.140625" defaultRowHeight="12.75"/>
  <cols>
    <col min="1" max="1" width="7.421875" style="30" customWidth="1"/>
    <col min="2" max="2" width="52.7109375" style="26" customWidth="1"/>
    <col min="3" max="3" width="6.7109375" style="5" customWidth="1"/>
    <col min="4" max="7" width="8.28125" style="25" customWidth="1"/>
    <col min="8" max="8" width="9.7109375" style="5" customWidth="1"/>
    <col min="9" max="9" width="11.28125" style="5" bestFit="1" customWidth="1"/>
    <col min="10" max="11" width="9.28125" style="5" bestFit="1" customWidth="1"/>
    <col min="12" max="16384" width="9.140625" style="5" customWidth="1"/>
  </cols>
  <sheetData>
    <row r="1" spans="1:8" ht="12.75">
      <c r="A1" s="27"/>
      <c r="B1" s="1"/>
      <c r="C1" s="2"/>
      <c r="D1" s="3"/>
      <c r="E1" s="3"/>
      <c r="F1" s="3"/>
      <c r="G1" s="3"/>
      <c r="H1" s="4"/>
    </row>
    <row r="2" spans="1:8" ht="12.75">
      <c r="A2" s="28"/>
      <c r="B2"/>
      <c r="C2" s="6"/>
      <c r="D2" s="7"/>
      <c r="E2" s="7"/>
      <c r="F2" s="7"/>
      <c r="G2" s="7"/>
      <c r="H2" s="8"/>
    </row>
    <row r="3" spans="1:8" ht="12" customHeight="1">
      <c r="A3" s="71"/>
      <c r="B3" s="9"/>
      <c r="C3" s="9"/>
      <c r="D3" s="127"/>
      <c r="E3" s="9"/>
      <c r="F3" s="9"/>
      <c r="G3" s="9"/>
      <c r="H3" s="8"/>
    </row>
    <row r="4" spans="1:8" ht="19.5" customHeight="1">
      <c r="A4" s="72"/>
      <c r="B4" s="10"/>
      <c r="D4" s="128"/>
      <c r="E4" s="10"/>
      <c r="F4" s="10"/>
      <c r="G4" s="10"/>
      <c r="H4" s="11"/>
    </row>
    <row r="5" spans="1:8" ht="12.75" customHeight="1">
      <c r="A5" s="72"/>
      <c r="B5" s="10"/>
      <c r="D5" s="128"/>
      <c r="E5" s="10"/>
      <c r="F5" s="10"/>
      <c r="G5" s="10"/>
      <c r="H5" s="11"/>
    </row>
    <row r="6" spans="1:8" ht="12.75" customHeight="1">
      <c r="A6" s="72"/>
      <c r="B6" s="10"/>
      <c r="D6" s="128"/>
      <c r="E6" s="10"/>
      <c r="F6" s="10"/>
      <c r="G6" s="10"/>
      <c r="H6" s="11"/>
    </row>
    <row r="7" spans="1:8" ht="12.75">
      <c r="A7" s="12" t="s">
        <v>22</v>
      </c>
      <c r="B7" s="185" t="s">
        <v>186</v>
      </c>
      <c r="C7" s="185"/>
      <c r="D7" s="185"/>
      <c r="E7" s="185"/>
      <c r="F7" s="185"/>
      <c r="G7" s="185"/>
      <c r="H7" s="186"/>
    </row>
    <row r="8" spans="1:8" ht="12.75">
      <c r="A8" s="12" t="s">
        <v>23</v>
      </c>
      <c r="B8" s="185" t="s">
        <v>70</v>
      </c>
      <c r="C8" s="185"/>
      <c r="D8" s="185"/>
      <c r="E8" s="185"/>
      <c r="F8" s="185"/>
      <c r="G8" s="185"/>
      <c r="H8" s="186"/>
    </row>
    <row r="9" spans="1:8" ht="12.75">
      <c r="A9" s="12" t="s">
        <v>24</v>
      </c>
      <c r="B9" s="187" t="s">
        <v>71</v>
      </c>
      <c r="C9" s="187"/>
      <c r="D9" s="187"/>
      <c r="E9" s="187"/>
      <c r="F9" s="187"/>
      <c r="G9" s="187"/>
      <c r="H9" s="188"/>
    </row>
    <row r="10" spans="1:8" ht="12.75">
      <c r="A10" s="12" t="s">
        <v>74</v>
      </c>
      <c r="B10" s="78"/>
      <c r="C10" s="78"/>
      <c r="D10" s="129"/>
      <c r="E10" s="78"/>
      <c r="F10" s="78"/>
      <c r="G10" s="78"/>
      <c r="H10" s="79"/>
    </row>
    <row r="11" spans="1:8" ht="12.75">
      <c r="A11" s="182" t="s">
        <v>20</v>
      </c>
      <c r="B11" s="183"/>
      <c r="C11" s="183"/>
      <c r="D11" s="183"/>
      <c r="E11" s="183"/>
      <c r="F11" s="183"/>
      <c r="G11" s="183"/>
      <c r="H11" s="184"/>
    </row>
    <row r="12" spans="1:8" ht="18" customHeight="1">
      <c r="A12" s="13" t="s">
        <v>25</v>
      </c>
      <c r="B12" s="14" t="s">
        <v>26</v>
      </c>
      <c r="C12" s="15" t="s">
        <v>27</v>
      </c>
      <c r="D12" s="130" t="s">
        <v>19</v>
      </c>
      <c r="E12" s="16" t="s">
        <v>28</v>
      </c>
      <c r="F12" s="16" t="s">
        <v>29</v>
      </c>
      <c r="G12" s="15" t="s">
        <v>30</v>
      </c>
      <c r="H12" s="17" t="s">
        <v>31</v>
      </c>
    </row>
    <row r="13" spans="1:8" s="22" customFormat="1" ht="12.75">
      <c r="A13" s="29" t="s">
        <v>32</v>
      </c>
      <c r="B13" s="18" t="s">
        <v>50</v>
      </c>
      <c r="C13" s="19"/>
      <c r="D13" s="20"/>
      <c r="E13" s="20"/>
      <c r="F13" s="20"/>
      <c r="G13" s="20"/>
      <c r="H13" s="21"/>
    </row>
    <row r="14" spans="1:9" ht="12.75">
      <c r="A14" s="31" t="s">
        <v>63</v>
      </c>
      <c r="B14" s="32" t="s">
        <v>62</v>
      </c>
      <c r="C14" s="33" t="s">
        <v>33</v>
      </c>
      <c r="D14" s="41">
        <v>5.04</v>
      </c>
      <c r="E14" s="34">
        <v>0</v>
      </c>
      <c r="F14" s="34">
        <v>6.14</v>
      </c>
      <c r="G14" s="34">
        <f aca="true" t="shared" si="0" ref="G14:G20">F14+E14</f>
        <v>6.14</v>
      </c>
      <c r="H14" s="35">
        <f aca="true" t="shared" si="1" ref="H14:H20">G14*D14</f>
        <v>30.9456</v>
      </c>
      <c r="I14" s="5">
        <f>0.8*2.1*3</f>
        <v>5.040000000000001</v>
      </c>
    </row>
    <row r="15" spans="1:9" ht="12.75">
      <c r="A15" s="31" t="s">
        <v>65</v>
      </c>
      <c r="B15" s="32" t="s">
        <v>64</v>
      </c>
      <c r="C15" s="33" t="s">
        <v>33</v>
      </c>
      <c r="D15" s="41">
        <v>15</v>
      </c>
      <c r="E15" s="34">
        <v>0</v>
      </c>
      <c r="F15" s="34">
        <v>5.91</v>
      </c>
      <c r="G15" s="34">
        <f t="shared" si="0"/>
        <v>5.91</v>
      </c>
      <c r="H15" s="35">
        <f t="shared" si="1"/>
        <v>88.65</v>
      </c>
      <c r="I15" s="5">
        <f>370*0.15*0.15+250*0.26*0.075</f>
        <v>13.2</v>
      </c>
    </row>
    <row r="16" spans="1:8" ht="12.75">
      <c r="A16" s="31" t="s">
        <v>194</v>
      </c>
      <c r="B16" s="32" t="s">
        <v>193</v>
      </c>
      <c r="C16" s="33" t="s">
        <v>18</v>
      </c>
      <c r="D16" s="41">
        <v>6</v>
      </c>
      <c r="E16" s="34">
        <v>0</v>
      </c>
      <c r="F16" s="34">
        <v>5.63</v>
      </c>
      <c r="G16" s="34">
        <f>F16+E16</f>
        <v>5.63</v>
      </c>
      <c r="H16" s="35">
        <f>G16*D16</f>
        <v>33.78</v>
      </c>
    </row>
    <row r="17" spans="1:8" ht="12.75">
      <c r="A17" s="31" t="s">
        <v>192</v>
      </c>
      <c r="B17" s="32" t="s">
        <v>191</v>
      </c>
      <c r="C17" s="33" t="s">
        <v>18</v>
      </c>
      <c r="D17" s="41">
        <v>2</v>
      </c>
      <c r="E17" s="34">
        <v>0</v>
      </c>
      <c r="F17" s="34">
        <v>4.22</v>
      </c>
      <c r="G17" s="34">
        <f t="shared" si="0"/>
        <v>4.22</v>
      </c>
      <c r="H17" s="35">
        <f t="shared" si="1"/>
        <v>8.44</v>
      </c>
    </row>
    <row r="18" spans="1:9" ht="12.75">
      <c r="A18" s="31" t="s">
        <v>10</v>
      </c>
      <c r="B18" s="32" t="s">
        <v>9</v>
      </c>
      <c r="C18" s="33" t="s">
        <v>33</v>
      </c>
      <c r="D18" s="41">
        <v>270</v>
      </c>
      <c r="E18" s="34">
        <v>0.82</v>
      </c>
      <c r="F18" s="34">
        <v>0</v>
      </c>
      <c r="G18" s="34">
        <f t="shared" si="0"/>
        <v>0.82</v>
      </c>
      <c r="H18" s="35">
        <f t="shared" si="1"/>
        <v>221.39999999999998</v>
      </c>
      <c r="I18" s="5">
        <f>(2.85+2.85+5.9+2+4+2+1)*13</f>
        <v>267.8</v>
      </c>
    </row>
    <row r="19" spans="1:8" ht="12.75">
      <c r="A19" s="31" t="s">
        <v>68</v>
      </c>
      <c r="B19" s="32" t="s">
        <v>69</v>
      </c>
      <c r="C19" s="33" t="s">
        <v>33</v>
      </c>
      <c r="D19" s="41">
        <v>13.5</v>
      </c>
      <c r="E19" s="34">
        <v>106.07</v>
      </c>
      <c r="F19" s="34">
        <v>8.02</v>
      </c>
      <c r="G19" s="34">
        <f t="shared" si="0"/>
        <v>114.08999999999999</v>
      </c>
      <c r="H19" s="35">
        <f t="shared" si="1"/>
        <v>1540.215</v>
      </c>
    </row>
    <row r="20" spans="1:8" ht="12.75" customHeight="1">
      <c r="A20" s="31" t="s">
        <v>11</v>
      </c>
      <c r="B20" s="32" t="s">
        <v>12</v>
      </c>
      <c r="C20" s="33" t="s">
        <v>33</v>
      </c>
      <c r="D20" s="41">
        <v>270</v>
      </c>
      <c r="E20" s="34">
        <v>4.18</v>
      </c>
      <c r="F20" s="34">
        <v>0</v>
      </c>
      <c r="G20" s="34">
        <f t="shared" si="0"/>
        <v>4.18</v>
      </c>
      <c r="H20" s="35">
        <f t="shared" si="1"/>
        <v>1128.6</v>
      </c>
    </row>
    <row r="21" spans="1:8" ht="12.75">
      <c r="A21" s="31"/>
      <c r="B21" s="36" t="s">
        <v>34</v>
      </c>
      <c r="C21" s="37"/>
      <c r="D21" s="39"/>
      <c r="E21" s="39"/>
      <c r="F21" s="39"/>
      <c r="G21" s="39"/>
      <c r="H21" s="40">
        <f>SUM(H14:H20)</f>
        <v>3052.0306</v>
      </c>
    </row>
    <row r="22" spans="1:8" ht="12.75">
      <c r="A22" s="31"/>
      <c r="B22" s="32"/>
      <c r="C22" s="33"/>
      <c r="D22" s="41"/>
      <c r="E22" s="41"/>
      <c r="F22" s="41"/>
      <c r="G22" s="41"/>
      <c r="H22" s="42"/>
    </row>
    <row r="23" spans="1:8" ht="12.75">
      <c r="A23" s="31" t="s">
        <v>72</v>
      </c>
      <c r="B23" s="23" t="s">
        <v>73</v>
      </c>
      <c r="C23" s="33"/>
      <c r="D23" s="41"/>
      <c r="E23" s="41"/>
      <c r="F23" s="41"/>
      <c r="G23" s="41"/>
      <c r="H23" s="42"/>
    </row>
    <row r="24" spans="1:8" ht="12.75">
      <c r="A24" s="31" t="s">
        <v>67</v>
      </c>
      <c r="B24" s="32" t="s">
        <v>66</v>
      </c>
      <c r="C24" s="33" t="s">
        <v>51</v>
      </c>
      <c r="D24" s="41">
        <v>6</v>
      </c>
      <c r="E24" s="41">
        <v>18.78</v>
      </c>
      <c r="F24" s="41">
        <v>0</v>
      </c>
      <c r="G24" s="41">
        <f>F24+E24</f>
        <v>18.78</v>
      </c>
      <c r="H24" s="42">
        <f>G24*D24</f>
        <v>112.68</v>
      </c>
    </row>
    <row r="25" spans="1:8" ht="12.75">
      <c r="A25" s="31"/>
      <c r="B25" s="24" t="s">
        <v>34</v>
      </c>
      <c r="C25" s="33"/>
      <c r="D25" s="41"/>
      <c r="E25" s="41"/>
      <c r="F25" s="41"/>
      <c r="G25" s="41"/>
      <c r="H25" s="40">
        <f>SUM(H24:H24)</f>
        <v>112.68</v>
      </c>
    </row>
    <row r="26" spans="1:8" ht="12.75">
      <c r="A26" s="31"/>
      <c r="B26" s="24"/>
      <c r="C26" s="33"/>
      <c r="D26" s="41"/>
      <c r="E26" s="41"/>
      <c r="F26" s="41"/>
      <c r="G26" s="41"/>
      <c r="H26" s="40"/>
    </row>
    <row r="27" spans="1:8" ht="12.75">
      <c r="A27" s="31" t="s">
        <v>35</v>
      </c>
      <c r="B27" s="23" t="s">
        <v>52</v>
      </c>
      <c r="C27" s="33"/>
      <c r="D27" s="41"/>
      <c r="E27" s="41"/>
      <c r="F27" s="41"/>
      <c r="G27" s="41"/>
      <c r="H27" s="42"/>
    </row>
    <row r="28" spans="1:8" ht="12.75" customHeight="1">
      <c r="A28" s="135" t="s">
        <v>36</v>
      </c>
      <c r="B28" s="136" t="s">
        <v>75</v>
      </c>
      <c r="C28" s="137" t="s">
        <v>60</v>
      </c>
      <c r="D28" s="138">
        <v>20</v>
      </c>
      <c r="E28" s="139">
        <v>0</v>
      </c>
      <c r="F28" s="139">
        <v>11.59</v>
      </c>
      <c r="G28" s="139">
        <f aca="true" t="shared" si="2" ref="G28:G50">F28+E28</f>
        <v>11.59</v>
      </c>
      <c r="H28" s="140">
        <f aca="true" t="shared" si="3" ref="H28:H50">G28*D28</f>
        <v>231.8</v>
      </c>
    </row>
    <row r="29" spans="1:8" ht="12.75" customHeight="1">
      <c r="A29" s="135" t="s">
        <v>76</v>
      </c>
      <c r="B29" s="136" t="s">
        <v>92</v>
      </c>
      <c r="C29" s="137" t="s">
        <v>17</v>
      </c>
      <c r="D29" s="138">
        <v>15</v>
      </c>
      <c r="E29" s="139">
        <v>3.35</v>
      </c>
      <c r="F29" s="139">
        <v>1.61</v>
      </c>
      <c r="G29" s="139">
        <f t="shared" si="2"/>
        <v>4.96</v>
      </c>
      <c r="H29" s="140">
        <f t="shared" si="3"/>
        <v>74.4</v>
      </c>
    </row>
    <row r="30" spans="1:8" ht="12.75" customHeight="1">
      <c r="A30" s="135" t="s">
        <v>77</v>
      </c>
      <c r="B30" s="136" t="s">
        <v>93</v>
      </c>
      <c r="C30" s="137" t="s">
        <v>18</v>
      </c>
      <c r="D30" s="138">
        <v>2</v>
      </c>
      <c r="E30" s="139">
        <v>10.97</v>
      </c>
      <c r="F30" s="139">
        <v>25.04</v>
      </c>
      <c r="G30" s="139">
        <f t="shared" si="2"/>
        <v>36.01</v>
      </c>
      <c r="H30" s="140">
        <f t="shared" si="3"/>
        <v>72.02</v>
      </c>
    </row>
    <row r="31" spans="1:8" ht="12.75" customHeight="1">
      <c r="A31" s="135" t="s">
        <v>78</v>
      </c>
      <c r="B31" s="136" t="s">
        <v>94</v>
      </c>
      <c r="C31" s="137" t="s">
        <v>18</v>
      </c>
      <c r="D31" s="138">
        <v>10</v>
      </c>
      <c r="E31" s="139">
        <v>0.96</v>
      </c>
      <c r="F31" s="139">
        <v>3.01</v>
      </c>
      <c r="G31" s="139">
        <f t="shared" si="2"/>
        <v>3.9699999999999998</v>
      </c>
      <c r="H31" s="140">
        <f t="shared" si="3"/>
        <v>39.699999999999996</v>
      </c>
    </row>
    <row r="32" spans="1:8" ht="12.75" customHeight="1">
      <c r="A32" s="135" t="s">
        <v>210</v>
      </c>
      <c r="B32" s="136" t="s">
        <v>211</v>
      </c>
      <c r="C32" s="137" t="s">
        <v>18</v>
      </c>
      <c r="D32" s="138">
        <v>5</v>
      </c>
      <c r="E32" s="139">
        <v>92.32</v>
      </c>
      <c r="F32" s="139">
        <v>40.06</v>
      </c>
      <c r="G32" s="139">
        <f t="shared" si="2"/>
        <v>132.38</v>
      </c>
      <c r="H32" s="140">
        <f t="shared" si="3"/>
        <v>661.9</v>
      </c>
    </row>
    <row r="33" spans="1:8" ht="12.75" customHeight="1">
      <c r="A33" s="135" t="s">
        <v>79</v>
      </c>
      <c r="B33" s="136" t="s">
        <v>95</v>
      </c>
      <c r="C33" s="137" t="s">
        <v>18</v>
      </c>
      <c r="D33" s="138">
        <v>10</v>
      </c>
      <c r="E33" s="139">
        <v>5.98</v>
      </c>
      <c r="F33" s="139">
        <v>6.01</v>
      </c>
      <c r="G33" s="139">
        <f t="shared" si="2"/>
        <v>11.99</v>
      </c>
      <c r="H33" s="140">
        <f t="shared" si="3"/>
        <v>119.9</v>
      </c>
    </row>
    <row r="34" spans="1:8" ht="12.75" customHeight="1">
      <c r="A34" s="135" t="s">
        <v>212</v>
      </c>
      <c r="B34" s="136" t="s">
        <v>213</v>
      </c>
      <c r="C34" s="141" t="s">
        <v>17</v>
      </c>
      <c r="D34" s="138">
        <v>50</v>
      </c>
      <c r="E34" s="139">
        <v>1.38</v>
      </c>
      <c r="F34" s="139">
        <v>3.4</v>
      </c>
      <c r="G34" s="139">
        <f t="shared" si="2"/>
        <v>4.779999999999999</v>
      </c>
      <c r="H34" s="140">
        <f t="shared" si="3"/>
        <v>238.99999999999997</v>
      </c>
    </row>
    <row r="35" spans="1:8" ht="12.75" customHeight="1">
      <c r="A35" s="135" t="s">
        <v>80</v>
      </c>
      <c r="B35" s="136" t="s">
        <v>96</v>
      </c>
      <c r="C35" s="137" t="s">
        <v>17</v>
      </c>
      <c r="D35" s="138">
        <v>150</v>
      </c>
      <c r="E35" s="139">
        <v>0.74</v>
      </c>
      <c r="F35" s="139">
        <v>1.1</v>
      </c>
      <c r="G35" s="139">
        <f t="shared" si="2"/>
        <v>1.84</v>
      </c>
      <c r="H35" s="140">
        <f t="shared" si="3"/>
        <v>276</v>
      </c>
    </row>
    <row r="36" spans="1:8" ht="12.75" customHeight="1">
      <c r="A36" s="135" t="s">
        <v>81</v>
      </c>
      <c r="B36" s="136" t="s">
        <v>97</v>
      </c>
      <c r="C36" s="137" t="s">
        <v>17</v>
      </c>
      <c r="D36" s="138">
        <v>30</v>
      </c>
      <c r="E36" s="139">
        <v>0.78</v>
      </c>
      <c r="F36" s="139">
        <v>1.21</v>
      </c>
      <c r="G36" s="139">
        <f t="shared" si="2"/>
        <v>1.99</v>
      </c>
      <c r="H36" s="140">
        <f t="shared" si="3"/>
        <v>59.7</v>
      </c>
    </row>
    <row r="37" spans="1:8" ht="12.75" customHeight="1">
      <c r="A37" s="135" t="s">
        <v>82</v>
      </c>
      <c r="B37" s="136" t="s">
        <v>98</v>
      </c>
      <c r="C37" s="137" t="s">
        <v>18</v>
      </c>
      <c r="D37" s="138">
        <v>5</v>
      </c>
      <c r="E37" s="139">
        <v>11.07</v>
      </c>
      <c r="F37" s="139">
        <v>4.01</v>
      </c>
      <c r="G37" s="139">
        <f t="shared" si="2"/>
        <v>15.08</v>
      </c>
      <c r="H37" s="140">
        <f t="shared" si="3"/>
        <v>75.4</v>
      </c>
    </row>
    <row r="38" spans="1:8" ht="12.75" customHeight="1">
      <c r="A38" s="135" t="s">
        <v>83</v>
      </c>
      <c r="B38" s="136" t="s">
        <v>99</v>
      </c>
      <c r="C38" s="137" t="s">
        <v>18</v>
      </c>
      <c r="D38" s="138">
        <v>6</v>
      </c>
      <c r="E38" s="139">
        <v>20.34</v>
      </c>
      <c r="F38" s="139">
        <v>6.01</v>
      </c>
      <c r="G38" s="139">
        <f t="shared" si="2"/>
        <v>26.35</v>
      </c>
      <c r="H38" s="140">
        <f t="shared" si="3"/>
        <v>158.10000000000002</v>
      </c>
    </row>
    <row r="39" spans="1:8" ht="12.75" customHeight="1">
      <c r="A39" s="135" t="s">
        <v>7</v>
      </c>
      <c r="B39" s="136" t="s">
        <v>214</v>
      </c>
      <c r="C39" s="137" t="s">
        <v>18</v>
      </c>
      <c r="D39" s="138">
        <v>2</v>
      </c>
      <c r="E39" s="139">
        <v>9.94</v>
      </c>
      <c r="F39" s="139">
        <v>7.41</v>
      </c>
      <c r="G39" s="139">
        <f t="shared" si="2"/>
        <v>17.35</v>
      </c>
      <c r="H39" s="140">
        <f t="shared" si="3"/>
        <v>34.7</v>
      </c>
    </row>
    <row r="40" spans="1:8" ht="12.75" customHeight="1">
      <c r="A40" s="135" t="s">
        <v>215</v>
      </c>
      <c r="B40" s="136" t="s">
        <v>216</v>
      </c>
      <c r="C40" s="141" t="s">
        <v>18</v>
      </c>
      <c r="D40" s="138">
        <v>2</v>
      </c>
      <c r="E40" s="139">
        <v>8.71</v>
      </c>
      <c r="F40" s="139">
        <v>7.41</v>
      </c>
      <c r="G40" s="139">
        <f t="shared" si="2"/>
        <v>16.12</v>
      </c>
      <c r="H40" s="140">
        <f t="shared" si="3"/>
        <v>32.24</v>
      </c>
    </row>
    <row r="41" spans="1:8" ht="12.75" customHeight="1">
      <c r="A41" s="135" t="s">
        <v>84</v>
      </c>
      <c r="B41" s="136" t="s">
        <v>8</v>
      </c>
      <c r="C41" s="137" t="s">
        <v>18</v>
      </c>
      <c r="D41" s="138">
        <v>10</v>
      </c>
      <c r="E41" s="139">
        <v>4.22</v>
      </c>
      <c r="F41" s="139">
        <v>4.2</v>
      </c>
      <c r="G41" s="139">
        <f t="shared" si="2"/>
        <v>8.42</v>
      </c>
      <c r="H41" s="140">
        <f t="shared" si="3"/>
        <v>84.2</v>
      </c>
    </row>
    <row r="42" spans="1:8" ht="12.75" customHeight="1">
      <c r="A42" s="135" t="s">
        <v>85</v>
      </c>
      <c r="B42" s="136" t="s">
        <v>0</v>
      </c>
      <c r="C42" s="137" t="s">
        <v>18</v>
      </c>
      <c r="D42" s="138">
        <v>14</v>
      </c>
      <c r="E42" s="139">
        <v>60.31</v>
      </c>
      <c r="F42" s="139">
        <v>1.61</v>
      </c>
      <c r="G42" s="139">
        <f t="shared" si="2"/>
        <v>61.92</v>
      </c>
      <c r="H42" s="140">
        <f t="shared" si="3"/>
        <v>866.88</v>
      </c>
    </row>
    <row r="43" spans="1:8" ht="12.75" customHeight="1">
      <c r="A43" s="135" t="s">
        <v>217</v>
      </c>
      <c r="B43" s="136" t="s">
        <v>218</v>
      </c>
      <c r="C43" s="137" t="s">
        <v>18</v>
      </c>
      <c r="D43" s="138">
        <v>6</v>
      </c>
      <c r="E43" s="139">
        <v>8.3</v>
      </c>
      <c r="F43" s="139">
        <v>0.13</v>
      </c>
      <c r="G43" s="139">
        <f t="shared" si="2"/>
        <v>8.430000000000001</v>
      </c>
      <c r="H43" s="140">
        <f t="shared" si="3"/>
        <v>50.58000000000001</v>
      </c>
    </row>
    <row r="44" spans="1:8" ht="12.75" customHeight="1">
      <c r="A44" s="135" t="s">
        <v>219</v>
      </c>
      <c r="B44" s="136" t="s">
        <v>220</v>
      </c>
      <c r="C44" s="137" t="s">
        <v>18</v>
      </c>
      <c r="D44" s="138">
        <v>6</v>
      </c>
      <c r="E44" s="139">
        <v>5.09</v>
      </c>
      <c r="F44" s="139">
        <v>12.01</v>
      </c>
      <c r="G44" s="139">
        <f t="shared" si="2"/>
        <v>17.1</v>
      </c>
      <c r="H44" s="140">
        <f t="shared" si="3"/>
        <v>102.60000000000001</v>
      </c>
    </row>
    <row r="45" spans="1:8" ht="12.75" customHeight="1">
      <c r="A45" s="135" t="s">
        <v>86</v>
      </c>
      <c r="B45" s="136" t="s">
        <v>1</v>
      </c>
      <c r="C45" s="137" t="s">
        <v>18</v>
      </c>
      <c r="D45" s="138">
        <v>14</v>
      </c>
      <c r="E45" s="139">
        <v>75.81</v>
      </c>
      <c r="F45" s="139">
        <v>8.02</v>
      </c>
      <c r="G45" s="139">
        <f t="shared" si="2"/>
        <v>83.83</v>
      </c>
      <c r="H45" s="140">
        <f t="shared" si="3"/>
        <v>1173.62</v>
      </c>
    </row>
    <row r="46" spans="1:8" ht="12.75" customHeight="1">
      <c r="A46" s="135" t="s">
        <v>88</v>
      </c>
      <c r="B46" s="136" t="s">
        <v>3</v>
      </c>
      <c r="C46" s="137" t="s">
        <v>18</v>
      </c>
      <c r="D46" s="138">
        <v>1</v>
      </c>
      <c r="E46" s="139">
        <v>20.66</v>
      </c>
      <c r="F46" s="139">
        <v>20.03</v>
      </c>
      <c r="G46" s="139">
        <f t="shared" si="2"/>
        <v>40.69</v>
      </c>
      <c r="H46" s="140">
        <f t="shared" si="3"/>
        <v>40.69</v>
      </c>
    </row>
    <row r="47" spans="1:8" ht="12.75" customHeight="1">
      <c r="A47" s="135" t="s">
        <v>87</v>
      </c>
      <c r="B47" s="136" t="s">
        <v>2</v>
      </c>
      <c r="C47" s="137" t="s">
        <v>18</v>
      </c>
      <c r="D47" s="138">
        <v>4</v>
      </c>
      <c r="E47" s="139">
        <v>13.56</v>
      </c>
      <c r="F47" s="139">
        <v>20.03</v>
      </c>
      <c r="G47" s="139">
        <f t="shared" si="2"/>
        <v>33.59</v>
      </c>
      <c r="H47" s="140">
        <f t="shared" si="3"/>
        <v>134.36</v>
      </c>
    </row>
    <row r="48" spans="1:8" ht="12.75" customHeight="1">
      <c r="A48" s="135" t="s">
        <v>89</v>
      </c>
      <c r="B48" s="136" t="s">
        <v>4</v>
      </c>
      <c r="C48" s="137" t="s">
        <v>18</v>
      </c>
      <c r="D48" s="138">
        <v>14</v>
      </c>
      <c r="E48" s="139">
        <v>83</v>
      </c>
      <c r="F48" s="139">
        <v>16.02</v>
      </c>
      <c r="G48" s="139">
        <f t="shared" si="2"/>
        <v>99.02</v>
      </c>
      <c r="H48" s="140">
        <f t="shared" si="3"/>
        <v>1386.28</v>
      </c>
    </row>
    <row r="49" spans="1:8" ht="12.75" customHeight="1">
      <c r="A49" s="135" t="s">
        <v>90</v>
      </c>
      <c r="B49" s="136" t="s">
        <v>5</v>
      </c>
      <c r="C49" s="137" t="s">
        <v>18</v>
      </c>
      <c r="D49" s="138">
        <v>10</v>
      </c>
      <c r="E49" s="139">
        <v>6.42</v>
      </c>
      <c r="F49" s="139">
        <v>5.81</v>
      </c>
      <c r="G49" s="139">
        <f t="shared" si="2"/>
        <v>12.23</v>
      </c>
      <c r="H49" s="140">
        <f t="shared" si="3"/>
        <v>122.30000000000001</v>
      </c>
    </row>
    <row r="50" spans="1:8" ht="12.75" customHeight="1">
      <c r="A50" s="135" t="s">
        <v>91</v>
      </c>
      <c r="B50" s="136" t="s">
        <v>6</v>
      </c>
      <c r="C50" s="137" t="s">
        <v>18</v>
      </c>
      <c r="D50" s="138">
        <v>3</v>
      </c>
      <c r="E50" s="139">
        <v>2.97</v>
      </c>
      <c r="F50" s="139">
        <v>7.41</v>
      </c>
      <c r="G50" s="139">
        <f t="shared" si="2"/>
        <v>10.38</v>
      </c>
      <c r="H50" s="140">
        <f t="shared" si="3"/>
        <v>31.14</v>
      </c>
    </row>
    <row r="51" spans="1:8" ht="12.75">
      <c r="A51" s="31"/>
      <c r="B51" s="24" t="s">
        <v>34</v>
      </c>
      <c r="C51" s="33"/>
      <c r="D51" s="41"/>
      <c r="E51" s="41"/>
      <c r="F51" s="41"/>
      <c r="G51" s="41"/>
      <c r="H51" s="40">
        <f>SUM(H28:H50)</f>
        <v>6067.509999999999</v>
      </c>
    </row>
    <row r="52" spans="1:8" ht="12.75">
      <c r="A52" s="31"/>
      <c r="B52" s="24"/>
      <c r="C52" s="33"/>
      <c r="D52" s="41"/>
      <c r="E52" s="41"/>
      <c r="F52" s="41"/>
      <c r="G52" s="41"/>
      <c r="H52" s="40"/>
    </row>
    <row r="53" spans="1:8" ht="12.75">
      <c r="A53" s="31" t="s">
        <v>37</v>
      </c>
      <c r="B53" s="23" t="s">
        <v>53</v>
      </c>
      <c r="C53" s="33"/>
      <c r="D53" s="41"/>
      <c r="E53" s="41"/>
      <c r="F53" s="41"/>
      <c r="G53" s="41"/>
      <c r="H53" s="42"/>
    </row>
    <row r="54" spans="1:8" ht="12.75" customHeight="1">
      <c r="A54" s="31"/>
      <c r="B54" s="32" t="s">
        <v>13</v>
      </c>
      <c r="C54" s="33" t="s">
        <v>18</v>
      </c>
      <c r="D54" s="41">
        <v>1</v>
      </c>
      <c r="E54" s="41">
        <v>600</v>
      </c>
      <c r="F54" s="41">
        <v>0</v>
      </c>
      <c r="G54" s="41">
        <f aca="true" t="shared" si="4" ref="G54:G64">F54+E54</f>
        <v>600</v>
      </c>
      <c r="H54" s="42">
        <f aca="true" t="shared" si="5" ref="H54:H64">G54*D54</f>
        <v>600</v>
      </c>
    </row>
    <row r="55" spans="1:8" ht="12.75" customHeight="1">
      <c r="A55" s="31" t="s">
        <v>188</v>
      </c>
      <c r="B55" s="32" t="s">
        <v>187</v>
      </c>
      <c r="C55" s="33" t="s">
        <v>18</v>
      </c>
      <c r="D55" s="41">
        <v>3</v>
      </c>
      <c r="E55" s="77">
        <v>160.38</v>
      </c>
      <c r="F55" s="41">
        <v>10.02</v>
      </c>
      <c r="G55" s="41">
        <f t="shared" si="4"/>
        <v>170.4</v>
      </c>
      <c r="H55" s="42">
        <f t="shared" si="5"/>
        <v>511.20000000000005</v>
      </c>
    </row>
    <row r="56" spans="1:8" ht="12.75" customHeight="1">
      <c r="A56" s="31" t="s">
        <v>190</v>
      </c>
      <c r="B56" s="32" t="s">
        <v>189</v>
      </c>
      <c r="C56" s="33" t="s">
        <v>18</v>
      </c>
      <c r="D56" s="41">
        <v>3</v>
      </c>
      <c r="E56" s="77">
        <v>23.11</v>
      </c>
      <c r="F56" s="41">
        <v>18.03</v>
      </c>
      <c r="G56" s="41">
        <f t="shared" si="4"/>
        <v>41.14</v>
      </c>
      <c r="H56" s="42">
        <f t="shared" si="5"/>
        <v>123.42</v>
      </c>
    </row>
    <row r="57" spans="1:8" ht="12.75" customHeight="1">
      <c r="A57" s="31" t="s">
        <v>224</v>
      </c>
      <c r="B57" s="32" t="s">
        <v>225</v>
      </c>
      <c r="C57" s="33" t="s">
        <v>18</v>
      </c>
      <c r="D57" s="41">
        <v>2</v>
      </c>
      <c r="E57" s="77">
        <v>132.42</v>
      </c>
      <c r="F57" s="41">
        <v>20.03</v>
      </c>
      <c r="G57" s="41">
        <f t="shared" si="4"/>
        <v>152.45</v>
      </c>
      <c r="H57" s="42">
        <f t="shared" si="5"/>
        <v>304.9</v>
      </c>
    </row>
    <row r="58" spans="1:8" ht="12.75" customHeight="1">
      <c r="A58" s="31" t="s">
        <v>15</v>
      </c>
      <c r="B58" s="32" t="s">
        <v>14</v>
      </c>
      <c r="C58" s="33" t="s">
        <v>18</v>
      </c>
      <c r="D58" s="41">
        <v>2</v>
      </c>
      <c r="E58" s="77">
        <v>40.68</v>
      </c>
      <c r="F58" s="41">
        <v>2.8</v>
      </c>
      <c r="G58" s="41">
        <f t="shared" si="4"/>
        <v>43.48</v>
      </c>
      <c r="H58" s="42">
        <f t="shared" si="5"/>
        <v>86.96</v>
      </c>
    </row>
    <row r="59" spans="1:8" ht="12.75">
      <c r="A59" s="31" t="s">
        <v>196</v>
      </c>
      <c r="B59" s="32" t="s">
        <v>195</v>
      </c>
      <c r="C59" s="33" t="s">
        <v>18</v>
      </c>
      <c r="D59" s="41">
        <v>6</v>
      </c>
      <c r="E59" s="77">
        <v>166.76</v>
      </c>
      <c r="F59" s="41">
        <v>33.65</v>
      </c>
      <c r="G59" s="41">
        <f t="shared" si="4"/>
        <v>200.41</v>
      </c>
      <c r="H59" s="42">
        <f t="shared" si="5"/>
        <v>1202.46</v>
      </c>
    </row>
    <row r="60" spans="1:8" ht="13.5" customHeight="1">
      <c r="A60" s="31" t="s">
        <v>198</v>
      </c>
      <c r="B60" s="32" t="s">
        <v>197</v>
      </c>
      <c r="C60" s="33" t="s">
        <v>168</v>
      </c>
      <c r="D60" s="41">
        <v>2</v>
      </c>
      <c r="E60" s="77">
        <v>4.64</v>
      </c>
      <c r="F60" s="41">
        <v>4.01</v>
      </c>
      <c r="G60" s="41">
        <f>F60+E60</f>
        <v>8.649999999999999</v>
      </c>
      <c r="H60" s="42">
        <f>G60*D60</f>
        <v>17.299999999999997</v>
      </c>
    </row>
    <row r="61" spans="1:8" ht="13.5" customHeight="1">
      <c r="A61" s="31" t="s">
        <v>200</v>
      </c>
      <c r="B61" s="32" t="s">
        <v>199</v>
      </c>
      <c r="C61" s="33" t="s">
        <v>18</v>
      </c>
      <c r="D61" s="41">
        <v>6</v>
      </c>
      <c r="E61" s="77">
        <v>17.73</v>
      </c>
      <c r="F61" s="41">
        <v>1.27</v>
      </c>
      <c r="G61" s="41">
        <f t="shared" si="4"/>
        <v>19</v>
      </c>
      <c r="H61" s="42">
        <f t="shared" si="5"/>
        <v>114</v>
      </c>
    </row>
    <row r="62" spans="1:8" ht="12.75">
      <c r="A62" s="31" t="s">
        <v>202</v>
      </c>
      <c r="B62" s="32" t="s">
        <v>201</v>
      </c>
      <c r="C62" s="33" t="s">
        <v>18</v>
      </c>
      <c r="D62" s="41">
        <v>6</v>
      </c>
      <c r="E62" s="77">
        <v>14.27</v>
      </c>
      <c r="F62" s="41">
        <v>10.02</v>
      </c>
      <c r="G62" s="41">
        <f>F62+E62</f>
        <v>24.29</v>
      </c>
      <c r="H62" s="42">
        <f>G62*D62</f>
        <v>145.74</v>
      </c>
    </row>
    <row r="63" spans="1:8" ht="12.75">
      <c r="A63" s="31" t="s">
        <v>203</v>
      </c>
      <c r="B63" s="32" t="s">
        <v>100</v>
      </c>
      <c r="C63" s="33" t="s">
        <v>18</v>
      </c>
      <c r="D63" s="41">
        <v>2</v>
      </c>
      <c r="E63" s="77">
        <v>1.1</v>
      </c>
      <c r="F63" s="41">
        <v>1.61</v>
      </c>
      <c r="G63" s="41">
        <f t="shared" si="4"/>
        <v>2.71</v>
      </c>
      <c r="H63" s="42">
        <f t="shared" si="5"/>
        <v>5.42</v>
      </c>
    </row>
    <row r="64" spans="1:8" ht="13.5" customHeight="1">
      <c r="A64" s="31"/>
      <c r="B64" s="32" t="s">
        <v>16</v>
      </c>
      <c r="C64" s="33" t="s">
        <v>60</v>
      </c>
      <c r="D64" s="41">
        <v>40</v>
      </c>
      <c r="E64" s="41">
        <v>0</v>
      </c>
      <c r="F64" s="41">
        <v>11.59</v>
      </c>
      <c r="G64" s="41">
        <f t="shared" si="4"/>
        <v>11.59</v>
      </c>
      <c r="H64" s="42">
        <f t="shared" si="5"/>
        <v>463.6</v>
      </c>
    </row>
    <row r="65" spans="1:8" ht="12.75">
      <c r="A65" s="29"/>
      <c r="B65" s="45" t="s">
        <v>34</v>
      </c>
      <c r="C65" s="46"/>
      <c r="D65" s="47"/>
      <c r="E65" s="47"/>
      <c r="F65" s="47"/>
      <c r="G65" s="47"/>
      <c r="H65" s="48">
        <f>SUM(H54:H64)</f>
        <v>3575.0000000000005</v>
      </c>
    </row>
    <row r="66" spans="1:8" ht="12.75">
      <c r="A66" s="29"/>
      <c r="B66" s="55"/>
      <c r="C66" s="46"/>
      <c r="D66" s="47"/>
      <c r="E66" s="47"/>
      <c r="F66" s="47"/>
      <c r="G66" s="47"/>
      <c r="H66" s="49"/>
    </row>
    <row r="67" spans="1:8" ht="12.75">
      <c r="A67" s="31" t="s">
        <v>38</v>
      </c>
      <c r="B67" s="23" t="s">
        <v>54</v>
      </c>
      <c r="C67" s="33"/>
      <c r="D67" s="41"/>
      <c r="E67" s="41"/>
      <c r="F67" s="41"/>
      <c r="G67" s="41"/>
      <c r="H67" s="42"/>
    </row>
    <row r="68" spans="1:8" ht="13.5" customHeight="1">
      <c r="A68" s="31"/>
      <c r="B68" s="32" t="s">
        <v>101</v>
      </c>
      <c r="C68" s="33" t="s">
        <v>60</v>
      </c>
      <c r="D68" s="41">
        <v>30</v>
      </c>
      <c r="E68" s="41">
        <v>0</v>
      </c>
      <c r="F68" s="41">
        <v>11.59</v>
      </c>
      <c r="G68" s="41">
        <f>F68+E68</f>
        <v>11.59</v>
      </c>
      <c r="H68" s="42">
        <f>G68*D68</f>
        <v>347.7</v>
      </c>
    </row>
    <row r="69" spans="1:8" ht="13.5" customHeight="1">
      <c r="A69" s="31"/>
      <c r="B69" s="24" t="s">
        <v>34</v>
      </c>
      <c r="C69" s="33"/>
      <c r="D69" s="41"/>
      <c r="E69" s="41"/>
      <c r="F69" s="41"/>
      <c r="G69" s="41"/>
      <c r="H69" s="40">
        <f>SUM(H68:H68)</f>
        <v>347.7</v>
      </c>
    </row>
    <row r="70" spans="1:8" ht="13.5" customHeight="1">
      <c r="A70" s="31"/>
      <c r="B70" s="32"/>
      <c r="C70" s="33"/>
      <c r="D70" s="41"/>
      <c r="E70" s="41"/>
      <c r="F70" s="41"/>
      <c r="G70" s="41"/>
      <c r="H70" s="42"/>
    </row>
    <row r="71" spans="1:8" ht="12.75">
      <c r="A71" s="29" t="s">
        <v>39</v>
      </c>
      <c r="B71" s="18" t="s">
        <v>55</v>
      </c>
      <c r="C71" s="56"/>
      <c r="D71" s="57"/>
      <c r="E71" s="57"/>
      <c r="F71" s="57"/>
      <c r="G71" s="57"/>
      <c r="H71" s="58"/>
    </row>
    <row r="72" spans="1:8" ht="12.75">
      <c r="A72" s="50" t="s">
        <v>205</v>
      </c>
      <c r="B72" s="51" t="s">
        <v>204</v>
      </c>
      <c r="C72" s="52" t="s">
        <v>33</v>
      </c>
      <c r="D72" s="41">
        <v>5</v>
      </c>
      <c r="E72" s="53">
        <v>18.01</v>
      </c>
      <c r="F72" s="53">
        <v>16.21</v>
      </c>
      <c r="G72" s="41">
        <f>F72+E72</f>
        <v>34.22</v>
      </c>
      <c r="H72" s="54">
        <f>G72*D72</f>
        <v>171.1</v>
      </c>
    </row>
    <row r="73" spans="1:9" ht="12.75">
      <c r="A73" s="31" t="s">
        <v>103</v>
      </c>
      <c r="B73" s="32" t="s">
        <v>102</v>
      </c>
      <c r="C73" s="33" t="s">
        <v>33</v>
      </c>
      <c r="D73" s="41">
        <v>10</v>
      </c>
      <c r="E73" s="41">
        <v>18.86</v>
      </c>
      <c r="F73" s="41">
        <v>15.4</v>
      </c>
      <c r="G73" s="41">
        <f>F73+E73</f>
        <v>34.26</v>
      </c>
      <c r="H73" s="42">
        <f>G73*D73</f>
        <v>342.59999999999997</v>
      </c>
      <c r="I73" s="5">
        <f>370*0.15*0.15</f>
        <v>8.325</v>
      </c>
    </row>
    <row r="74" spans="1:8" ht="12.75">
      <c r="A74" s="31"/>
      <c r="B74" s="24" t="s">
        <v>34</v>
      </c>
      <c r="C74" s="33"/>
      <c r="D74" s="41"/>
      <c r="E74" s="41"/>
      <c r="F74" s="41"/>
      <c r="G74" s="41"/>
      <c r="H74" s="40">
        <f>SUM(H72:H73)</f>
        <v>513.6999999999999</v>
      </c>
    </row>
    <row r="75" spans="1:8" ht="12.75">
      <c r="A75" s="31"/>
      <c r="B75" s="32"/>
      <c r="C75" s="33"/>
      <c r="D75" s="41"/>
      <c r="E75" s="41"/>
      <c r="F75" s="41"/>
      <c r="G75" s="41"/>
      <c r="H75" s="42"/>
    </row>
    <row r="76" spans="1:8" ht="12.75">
      <c r="A76" s="31" t="s">
        <v>40</v>
      </c>
      <c r="B76" s="23" t="s">
        <v>56</v>
      </c>
      <c r="C76" s="33"/>
      <c r="D76" s="41"/>
      <c r="E76" s="41"/>
      <c r="F76" s="41"/>
      <c r="G76" s="41"/>
      <c r="H76" s="42"/>
    </row>
    <row r="77" spans="1:9" ht="22.5">
      <c r="A77" s="31" t="s">
        <v>206</v>
      </c>
      <c r="B77" s="32" t="s">
        <v>221</v>
      </c>
      <c r="C77" s="33" t="s">
        <v>33</v>
      </c>
      <c r="D77" s="41">
        <v>18</v>
      </c>
      <c r="E77" s="41">
        <v>90.92</v>
      </c>
      <c r="F77" s="41">
        <v>44.19</v>
      </c>
      <c r="G77" s="41">
        <f>F77+E77</f>
        <v>135.11</v>
      </c>
      <c r="H77" s="42">
        <f>G77*D77</f>
        <v>2431.9800000000005</v>
      </c>
      <c r="I77" s="5">
        <f>2.5*1.1+15</f>
        <v>17.75</v>
      </c>
    </row>
    <row r="78" spans="1:10" ht="12.75" customHeight="1">
      <c r="A78" s="31" t="s">
        <v>208</v>
      </c>
      <c r="B78" s="32" t="s">
        <v>209</v>
      </c>
      <c r="C78" s="33" t="s">
        <v>17</v>
      </c>
      <c r="D78" s="41">
        <v>45</v>
      </c>
      <c r="E78" s="41">
        <v>18.3</v>
      </c>
      <c r="F78" s="41">
        <v>6.17</v>
      </c>
      <c r="G78" s="41">
        <f>F78+E78</f>
        <v>24.47</v>
      </c>
      <c r="H78" s="42">
        <f>G78*D78</f>
        <v>1101.1499999999999</v>
      </c>
      <c r="J78" s="5">
        <f>3*6.1</f>
        <v>18.299999999999997</v>
      </c>
    </row>
    <row r="79" spans="1:8" ht="12.75" customHeight="1">
      <c r="A79" s="31" t="s">
        <v>223</v>
      </c>
      <c r="B79" s="32" t="s">
        <v>222</v>
      </c>
      <c r="C79" s="33" t="s">
        <v>33</v>
      </c>
      <c r="D79" s="41">
        <v>80</v>
      </c>
      <c r="E79" s="41">
        <v>30.35</v>
      </c>
      <c r="F79" s="41">
        <v>4.8</v>
      </c>
      <c r="G79" s="41">
        <f>F79+E79</f>
        <v>35.15</v>
      </c>
      <c r="H79" s="42">
        <f>G79*D79</f>
        <v>2812</v>
      </c>
    </row>
    <row r="80" spans="1:8" ht="12.75">
      <c r="A80" s="31"/>
      <c r="B80" s="24" t="s">
        <v>34</v>
      </c>
      <c r="C80" s="33"/>
      <c r="D80" s="41"/>
      <c r="E80" s="41"/>
      <c r="F80" s="41"/>
      <c r="G80" s="41"/>
      <c r="H80" s="40">
        <f>SUM(H77:H79)</f>
        <v>6345.13</v>
      </c>
    </row>
    <row r="81" spans="1:8" ht="12.75">
      <c r="A81" s="31"/>
      <c r="B81" s="32"/>
      <c r="C81" s="33"/>
      <c r="D81" s="41"/>
      <c r="E81" s="41"/>
      <c r="F81" s="41"/>
      <c r="G81" s="41"/>
      <c r="H81" s="42"/>
    </row>
    <row r="82" spans="1:8" ht="12.75">
      <c r="A82" s="31" t="s">
        <v>41</v>
      </c>
      <c r="B82" s="23" t="s">
        <v>59</v>
      </c>
      <c r="C82" s="33"/>
      <c r="D82" s="41"/>
      <c r="E82" s="41"/>
      <c r="F82" s="41"/>
      <c r="G82" s="41"/>
      <c r="H82" s="42"/>
    </row>
    <row r="83" spans="1:9" ht="12.75" customHeight="1">
      <c r="A83" s="31" t="s">
        <v>105</v>
      </c>
      <c r="B83" s="76" t="s">
        <v>104</v>
      </c>
      <c r="C83" s="33" t="s">
        <v>33</v>
      </c>
      <c r="D83" s="77">
        <v>1</v>
      </c>
      <c r="E83" s="77">
        <v>31.35</v>
      </c>
      <c r="F83" s="77">
        <v>0</v>
      </c>
      <c r="G83" s="41">
        <f>F83+E83</f>
        <v>31.35</v>
      </c>
      <c r="H83" s="42">
        <f>G83*D83</f>
        <v>31.35</v>
      </c>
      <c r="I83" s="5">
        <f>0.5*0.25*1+0.4*0.8*1</f>
        <v>0.44500000000000006</v>
      </c>
    </row>
    <row r="84" spans="1:8" ht="12.75">
      <c r="A84" s="31"/>
      <c r="B84" s="24" t="s">
        <v>34</v>
      </c>
      <c r="C84" s="33"/>
      <c r="D84" s="41"/>
      <c r="E84" s="77"/>
      <c r="F84" s="77"/>
      <c r="G84" s="41"/>
      <c r="H84" s="40">
        <f>SUM(H83)</f>
        <v>31.35</v>
      </c>
    </row>
    <row r="85" spans="1:8" ht="12.75">
      <c r="A85" s="31"/>
      <c r="B85" s="32"/>
      <c r="C85" s="33"/>
      <c r="D85" s="41"/>
      <c r="E85" s="77"/>
      <c r="F85" s="77"/>
      <c r="G85" s="41"/>
      <c r="H85" s="42"/>
    </row>
    <row r="86" spans="1:8" ht="12.75">
      <c r="A86" s="31" t="s">
        <v>42</v>
      </c>
      <c r="B86" s="23" t="s">
        <v>57</v>
      </c>
      <c r="C86" s="33"/>
      <c r="D86" s="41"/>
      <c r="E86" s="77"/>
      <c r="F86" s="77"/>
      <c r="G86" s="41"/>
      <c r="H86" s="42"/>
    </row>
    <row r="87" spans="1:8" ht="12.75">
      <c r="A87" s="31" t="s">
        <v>106</v>
      </c>
      <c r="B87" s="32" t="s">
        <v>43</v>
      </c>
      <c r="C87" s="33" t="s">
        <v>18</v>
      </c>
      <c r="D87" s="41">
        <v>2</v>
      </c>
      <c r="E87" s="77">
        <v>60</v>
      </c>
      <c r="F87" s="77">
        <v>11.59</v>
      </c>
      <c r="G87" s="41">
        <f>F87+E87</f>
        <v>71.59</v>
      </c>
      <c r="H87" s="42">
        <f>G87*D87</f>
        <v>143.18</v>
      </c>
    </row>
    <row r="88" spans="1:8" ht="12.75">
      <c r="A88" s="31"/>
      <c r="B88" s="24" t="s">
        <v>34</v>
      </c>
      <c r="C88" s="33"/>
      <c r="D88" s="41"/>
      <c r="E88" s="41"/>
      <c r="F88" s="41"/>
      <c r="G88" s="41"/>
      <c r="H88" s="40">
        <f>SUM(H87:H87)</f>
        <v>143.18</v>
      </c>
    </row>
    <row r="89" spans="1:8" ht="12.75">
      <c r="A89" s="31"/>
      <c r="B89" s="32"/>
      <c r="C89" s="33"/>
      <c r="D89" s="41"/>
      <c r="E89" s="44"/>
      <c r="F89" s="41"/>
      <c r="G89" s="41"/>
      <c r="H89" s="42"/>
    </row>
    <row r="90" spans="1:8" ht="12.75">
      <c r="A90" s="31" t="s">
        <v>151</v>
      </c>
      <c r="B90" s="23" t="s">
        <v>152</v>
      </c>
      <c r="C90" s="33"/>
      <c r="D90" s="41"/>
      <c r="E90" s="77"/>
      <c r="F90" s="77"/>
      <c r="G90" s="41"/>
      <c r="H90" s="42"/>
    </row>
    <row r="91" spans="1:9" ht="12.75">
      <c r="A91" s="31" t="s">
        <v>157</v>
      </c>
      <c r="B91" s="32" t="s">
        <v>158</v>
      </c>
      <c r="C91" s="33" t="s">
        <v>60</v>
      </c>
      <c r="D91" s="41">
        <v>55</v>
      </c>
      <c r="E91" s="77">
        <v>0</v>
      </c>
      <c r="F91" s="77">
        <v>74.5</v>
      </c>
      <c r="G91" s="41">
        <f>F91+E91</f>
        <v>74.5</v>
      </c>
      <c r="H91" s="42">
        <f>G91*D91</f>
        <v>4097.5</v>
      </c>
      <c r="I91" s="5">
        <f>220/4</f>
        <v>55</v>
      </c>
    </row>
    <row r="92" spans="1:8" ht="12.75">
      <c r="A92" s="31" t="s">
        <v>154</v>
      </c>
      <c r="B92" s="32" t="s">
        <v>153</v>
      </c>
      <c r="C92" s="33" t="s">
        <v>60</v>
      </c>
      <c r="D92" s="41">
        <v>220</v>
      </c>
      <c r="E92" s="77">
        <v>0</v>
      </c>
      <c r="F92" s="77">
        <v>21.94</v>
      </c>
      <c r="G92" s="41">
        <f>F92+E92</f>
        <v>21.94</v>
      </c>
      <c r="H92" s="42">
        <f>G92*D92</f>
        <v>4826.8</v>
      </c>
    </row>
    <row r="93" spans="1:8" ht="12.75">
      <c r="A93" s="31" t="s">
        <v>156</v>
      </c>
      <c r="B93" s="32" t="s">
        <v>155</v>
      </c>
      <c r="C93" s="33" t="s">
        <v>60</v>
      </c>
      <c r="D93" s="41">
        <v>440</v>
      </c>
      <c r="E93" s="77">
        <v>0</v>
      </c>
      <c r="F93" s="77">
        <v>7.57</v>
      </c>
      <c r="G93" s="41">
        <f>F93+E93</f>
        <v>7.57</v>
      </c>
      <c r="H93" s="42">
        <f>G93*D93</f>
        <v>3330.8</v>
      </c>
    </row>
    <row r="94" spans="1:8" ht="12.75">
      <c r="A94" s="31"/>
      <c r="B94" s="24" t="s">
        <v>34</v>
      </c>
      <c r="C94" s="33"/>
      <c r="D94" s="41"/>
      <c r="E94" s="41"/>
      <c r="F94" s="41"/>
      <c r="G94" s="41"/>
      <c r="H94" s="40">
        <f>SUM(H91:H93)</f>
        <v>12255.099999999999</v>
      </c>
    </row>
    <row r="95" spans="1:8" ht="12.75">
      <c r="A95" s="31"/>
      <c r="B95" s="32"/>
      <c r="C95" s="33"/>
      <c r="D95" s="41"/>
      <c r="E95" s="44"/>
      <c r="F95" s="41"/>
      <c r="G95" s="41"/>
      <c r="H95" s="42"/>
    </row>
    <row r="96" spans="1:8" ht="12.75">
      <c r="A96" s="31" t="s">
        <v>44</v>
      </c>
      <c r="B96" s="23" t="s">
        <v>21</v>
      </c>
      <c r="C96" s="33"/>
      <c r="D96" s="41"/>
      <c r="E96" s="41"/>
      <c r="F96" s="41"/>
      <c r="G96" s="41"/>
      <c r="H96" s="42"/>
    </row>
    <row r="97" spans="1:9" ht="12.75" customHeight="1">
      <c r="A97" s="31" t="s">
        <v>141</v>
      </c>
      <c r="B97" s="32" t="s">
        <v>140</v>
      </c>
      <c r="C97" s="33" t="s">
        <v>33</v>
      </c>
      <c r="D97" s="41">
        <v>186.7</v>
      </c>
      <c r="E97" s="41">
        <v>1.62</v>
      </c>
      <c r="F97" s="41">
        <v>3.01</v>
      </c>
      <c r="G97" s="41">
        <f aca="true" t="shared" si="6" ref="G97:G102">F97+E97</f>
        <v>4.63</v>
      </c>
      <c r="H97" s="42">
        <f aca="true" t="shared" si="7" ref="H97:H102">G97*D97</f>
        <v>864.4209999999999</v>
      </c>
      <c r="I97" s="133">
        <f>105.11+81.59</f>
        <v>186.7</v>
      </c>
    </row>
    <row r="98" spans="1:9" ht="12.75">
      <c r="A98" s="31" t="s">
        <v>150</v>
      </c>
      <c r="B98" s="32" t="s">
        <v>149</v>
      </c>
      <c r="C98" s="33" t="s">
        <v>33</v>
      </c>
      <c r="D98" s="41">
        <v>45</v>
      </c>
      <c r="E98" s="41">
        <v>2.25</v>
      </c>
      <c r="F98" s="41">
        <v>1.25</v>
      </c>
      <c r="G98" s="41">
        <f>F98+E98</f>
        <v>3.5</v>
      </c>
      <c r="H98" s="42">
        <f>G98*D98</f>
        <v>157.5</v>
      </c>
      <c r="I98" s="5">
        <f>(2.85+2.85+5.9+2+4+2+1)*0.5*4</f>
        <v>41.2</v>
      </c>
    </row>
    <row r="99" spans="1:8" ht="12.75">
      <c r="A99" s="31" t="s">
        <v>143</v>
      </c>
      <c r="B99" s="32" t="s">
        <v>142</v>
      </c>
      <c r="C99" s="33" t="s">
        <v>33</v>
      </c>
      <c r="D99" s="41">
        <v>161.68</v>
      </c>
      <c r="E99" s="41">
        <v>1.62</v>
      </c>
      <c r="F99" s="41">
        <v>2.78</v>
      </c>
      <c r="G99" s="41">
        <f t="shared" si="6"/>
        <v>4.4</v>
      </c>
      <c r="H99" s="42">
        <f t="shared" si="7"/>
        <v>711.392</v>
      </c>
    </row>
    <row r="100" spans="1:8" ht="12.75">
      <c r="A100" s="31" t="s">
        <v>45</v>
      </c>
      <c r="B100" s="32" t="s">
        <v>144</v>
      </c>
      <c r="C100" s="33" t="s">
        <v>33</v>
      </c>
      <c r="D100" s="41">
        <v>129.07</v>
      </c>
      <c r="E100" s="41">
        <v>2.35</v>
      </c>
      <c r="F100" s="41">
        <v>6.78</v>
      </c>
      <c r="G100" s="41">
        <f t="shared" si="6"/>
        <v>9.13</v>
      </c>
      <c r="H100" s="42">
        <f t="shared" si="7"/>
        <v>1178.4091</v>
      </c>
    </row>
    <row r="101" spans="1:8" ht="12.75" customHeight="1">
      <c r="A101" s="31" t="s">
        <v>146</v>
      </c>
      <c r="B101" s="32" t="s">
        <v>145</v>
      </c>
      <c r="C101" s="33" t="s">
        <v>33</v>
      </c>
      <c r="D101" s="41">
        <v>19.2</v>
      </c>
      <c r="E101" s="41">
        <v>4.07</v>
      </c>
      <c r="F101" s="41">
        <v>7.9</v>
      </c>
      <c r="G101" s="41">
        <f>F101+E101</f>
        <v>11.97</v>
      </c>
      <c r="H101" s="42">
        <f>G101*D101</f>
        <v>229.824</v>
      </c>
    </row>
    <row r="102" spans="1:9" ht="12.75" customHeight="1">
      <c r="A102" s="31" t="s">
        <v>147</v>
      </c>
      <c r="B102" s="32" t="s">
        <v>148</v>
      </c>
      <c r="C102" s="33" t="s">
        <v>33</v>
      </c>
      <c r="D102" s="41">
        <v>7</v>
      </c>
      <c r="E102" s="41">
        <v>0.99</v>
      </c>
      <c r="F102" s="41">
        <v>69.22</v>
      </c>
      <c r="G102" s="41">
        <f t="shared" si="6"/>
        <v>70.21</v>
      </c>
      <c r="H102" s="42">
        <f t="shared" si="7"/>
        <v>491.46999999999997</v>
      </c>
      <c r="I102" s="5">
        <f>14*0.5</f>
        <v>7</v>
      </c>
    </row>
    <row r="103" spans="1:8" ht="12.75" customHeight="1">
      <c r="A103" s="31"/>
      <c r="B103" s="24" t="s">
        <v>34</v>
      </c>
      <c r="C103" s="33"/>
      <c r="D103" s="41"/>
      <c r="E103" s="41"/>
      <c r="F103" s="41"/>
      <c r="G103" s="41"/>
      <c r="H103" s="40">
        <f>SUM(H97:H102)</f>
        <v>3633.0161</v>
      </c>
    </row>
    <row r="104" spans="1:8" ht="12.75" customHeight="1">
      <c r="A104" s="31"/>
      <c r="B104" s="32"/>
      <c r="C104" s="33"/>
      <c r="D104" s="41"/>
      <c r="E104" s="41"/>
      <c r="F104" s="41"/>
      <c r="G104" s="41"/>
      <c r="H104" s="42"/>
    </row>
    <row r="105" spans="1:8" ht="12.75">
      <c r="A105" s="31" t="s">
        <v>46</v>
      </c>
      <c r="B105" s="23" t="s">
        <v>61</v>
      </c>
      <c r="C105" s="33"/>
      <c r="D105" s="41"/>
      <c r="E105" s="41"/>
      <c r="F105" s="41"/>
      <c r="G105" s="41"/>
      <c r="H105" s="42"/>
    </row>
    <row r="106" spans="1:11" ht="12.75">
      <c r="A106" s="31"/>
      <c r="B106" s="32" t="s">
        <v>207</v>
      </c>
      <c r="C106" s="33" t="s">
        <v>18</v>
      </c>
      <c r="D106" s="41">
        <v>1</v>
      </c>
      <c r="E106" s="41">
        <v>1.55</v>
      </c>
      <c r="F106" s="41">
        <v>14.9</v>
      </c>
      <c r="G106" s="41">
        <f aca="true" t="shared" si="8" ref="G106:G111">F106+E106</f>
        <v>16.45</v>
      </c>
      <c r="H106" s="42">
        <f aca="true" t="shared" si="9" ref="H106:H111">G106*D106</f>
        <v>16.45</v>
      </c>
      <c r="J106" s="5">
        <f>(107.29-104.32)*1.3*0.4</f>
        <v>1.5444000000000069</v>
      </c>
      <c r="K106" s="5">
        <f>1.3*0.4*28.66</f>
        <v>14.9032</v>
      </c>
    </row>
    <row r="107" spans="1:8" ht="12.75">
      <c r="A107" s="31" t="s">
        <v>167</v>
      </c>
      <c r="B107" s="32" t="s">
        <v>166</v>
      </c>
      <c r="C107" s="33" t="s">
        <v>18</v>
      </c>
      <c r="D107" s="41">
        <v>1</v>
      </c>
      <c r="E107" s="41">
        <v>365.52</v>
      </c>
      <c r="F107" s="41">
        <v>2.9</v>
      </c>
      <c r="G107" s="41">
        <f t="shared" si="8"/>
        <v>368.41999999999996</v>
      </c>
      <c r="H107" s="42">
        <f t="shared" si="9"/>
        <v>368.41999999999996</v>
      </c>
    </row>
    <row r="108" spans="1:8" ht="12.75">
      <c r="A108" s="31"/>
      <c r="B108" s="32" t="s">
        <v>162</v>
      </c>
      <c r="C108" s="33" t="s">
        <v>163</v>
      </c>
      <c r="D108" s="41">
        <v>3</v>
      </c>
      <c r="E108" s="41">
        <v>1836</v>
      </c>
      <c r="F108" s="41">
        <v>0</v>
      </c>
      <c r="G108" s="41">
        <f t="shared" si="8"/>
        <v>1836</v>
      </c>
      <c r="H108" s="42">
        <f t="shared" si="9"/>
        <v>5508</v>
      </c>
    </row>
    <row r="109" spans="1:9" ht="12.75">
      <c r="A109" s="31" t="s">
        <v>164</v>
      </c>
      <c r="B109" s="32" t="s">
        <v>165</v>
      </c>
      <c r="C109" s="33" t="s">
        <v>161</v>
      </c>
      <c r="D109" s="41">
        <v>156</v>
      </c>
      <c r="E109" s="41">
        <v>5.5</v>
      </c>
      <c r="F109" s="41">
        <v>0</v>
      </c>
      <c r="G109" s="41">
        <f t="shared" si="8"/>
        <v>5.5</v>
      </c>
      <c r="H109" s="42">
        <f t="shared" si="9"/>
        <v>858</v>
      </c>
      <c r="I109" s="5">
        <f>6*26</f>
        <v>156</v>
      </c>
    </row>
    <row r="110" spans="1:8" ht="12.75">
      <c r="A110" s="31" t="s">
        <v>159</v>
      </c>
      <c r="B110" s="32" t="s">
        <v>160</v>
      </c>
      <c r="C110" s="33" t="s">
        <v>161</v>
      </c>
      <c r="D110" s="41">
        <v>156</v>
      </c>
      <c r="E110" s="41">
        <v>5.5</v>
      </c>
      <c r="F110" s="41">
        <v>0</v>
      </c>
      <c r="G110" s="41">
        <f t="shared" si="8"/>
        <v>5.5</v>
      </c>
      <c r="H110" s="42">
        <f t="shared" si="9"/>
        <v>858</v>
      </c>
    </row>
    <row r="111" spans="1:9" ht="12.75">
      <c r="A111" s="31" t="s">
        <v>47</v>
      </c>
      <c r="B111" s="32" t="s">
        <v>58</v>
      </c>
      <c r="C111" s="33" t="s">
        <v>33</v>
      </c>
      <c r="D111" s="41">
        <v>270</v>
      </c>
      <c r="E111" s="41">
        <v>0.02</v>
      </c>
      <c r="F111" s="41">
        <v>0.84</v>
      </c>
      <c r="G111" s="41">
        <f t="shared" si="8"/>
        <v>0.86</v>
      </c>
      <c r="H111" s="42">
        <f t="shared" si="9"/>
        <v>232.2</v>
      </c>
      <c r="I111" s="5">
        <f>(2.85+2.85+5.9+2+4+2+1)*13</f>
        <v>267.8</v>
      </c>
    </row>
    <row r="112" spans="1:8" ht="12.75">
      <c r="A112" s="31"/>
      <c r="B112" s="24" t="s">
        <v>34</v>
      </c>
      <c r="C112" s="33"/>
      <c r="D112" s="41"/>
      <c r="E112" s="41"/>
      <c r="F112" s="41"/>
      <c r="G112" s="41"/>
      <c r="H112" s="40">
        <f>SUM(H106:H111)</f>
        <v>7841.07</v>
      </c>
    </row>
    <row r="113" spans="1:8" ht="12.75">
      <c r="A113" s="31"/>
      <c r="B113" s="43"/>
      <c r="C113" s="33"/>
      <c r="D113" s="41"/>
      <c r="E113" s="41"/>
      <c r="F113" s="41"/>
      <c r="G113" s="41"/>
      <c r="H113" s="42"/>
    </row>
    <row r="114" spans="1:8" ht="12.75">
      <c r="A114" s="31"/>
      <c r="B114" s="32"/>
      <c r="C114" s="33"/>
      <c r="D114" s="41"/>
      <c r="E114" s="41"/>
      <c r="F114" s="41"/>
      <c r="G114" s="41"/>
      <c r="H114" s="42"/>
    </row>
    <row r="115" spans="1:9" ht="12.75">
      <c r="A115" s="31"/>
      <c r="B115" s="59" t="s">
        <v>48</v>
      </c>
      <c r="C115" s="33"/>
      <c r="D115" s="41"/>
      <c r="E115" s="41"/>
      <c r="F115" s="41"/>
      <c r="G115" s="41"/>
      <c r="H115" s="40">
        <f>SUM(H112+H103+H94+H88+H84+H80+H74+H69+H65+H51+H25+H21)</f>
        <v>43917.466700000004</v>
      </c>
      <c r="I115" s="142">
        <f>SUM(H14:H112)/2</f>
        <v>43917.46669999999</v>
      </c>
    </row>
    <row r="116" spans="1:8" ht="12.75">
      <c r="A116" s="31"/>
      <c r="B116" s="59" t="s">
        <v>169</v>
      </c>
      <c r="C116" s="131">
        <v>0.2409</v>
      </c>
      <c r="D116" s="41"/>
      <c r="E116" s="41"/>
      <c r="F116" s="41"/>
      <c r="G116" s="41"/>
      <c r="H116" s="40">
        <f>H115*C116</f>
        <v>10579.717728030002</v>
      </c>
    </row>
    <row r="117" spans="1:8" ht="12.75">
      <c r="A117" s="31"/>
      <c r="B117" s="59" t="s">
        <v>49</v>
      </c>
      <c r="C117" s="33"/>
      <c r="D117" s="41"/>
      <c r="E117" s="41"/>
      <c r="F117" s="41"/>
      <c r="G117" s="41"/>
      <c r="H117" s="40">
        <f>H116+H115</f>
        <v>54497.18442803001</v>
      </c>
    </row>
    <row r="118" spans="1:8" ht="12.75">
      <c r="A118" s="73"/>
      <c r="B118" s="60"/>
      <c r="C118" s="61"/>
      <c r="D118" s="62"/>
      <c r="E118" s="62"/>
      <c r="F118" s="62"/>
      <c r="G118" s="63"/>
      <c r="H118" s="64"/>
    </row>
    <row r="119" spans="1:8" ht="12.75">
      <c r="A119" s="73"/>
      <c r="B119" s="60"/>
      <c r="C119" s="61"/>
      <c r="D119" s="62"/>
      <c r="E119" s="62"/>
      <c r="F119" s="62"/>
      <c r="G119" s="63"/>
      <c r="H119" s="64"/>
    </row>
    <row r="120" spans="1:8" ht="12.75">
      <c r="A120" s="73"/>
      <c r="B120" s="60"/>
      <c r="C120" s="61"/>
      <c r="D120" s="62"/>
      <c r="E120" s="62"/>
      <c r="F120" s="62"/>
      <c r="G120" s="63"/>
      <c r="H120" s="64"/>
    </row>
    <row r="121" spans="1:8" ht="12.75">
      <c r="A121" s="73"/>
      <c r="B121" s="60"/>
      <c r="C121" s="61"/>
      <c r="D121" s="62"/>
      <c r="E121" s="62"/>
      <c r="F121" s="62"/>
      <c r="G121" s="63"/>
      <c r="H121" s="64"/>
    </row>
    <row r="122" spans="1:8" ht="12.75">
      <c r="A122" s="73"/>
      <c r="B122" s="60"/>
      <c r="C122" s="61"/>
      <c r="D122" s="62"/>
      <c r="E122" s="62"/>
      <c r="F122" s="62"/>
      <c r="G122" s="63"/>
      <c r="H122" s="64"/>
    </row>
    <row r="123" spans="1:8" ht="12.75">
      <c r="A123" s="73"/>
      <c r="B123" s="60"/>
      <c r="C123" s="61"/>
      <c r="D123" s="62"/>
      <c r="E123" s="62"/>
      <c r="F123" s="62"/>
      <c r="G123" s="63"/>
      <c r="H123" s="64"/>
    </row>
    <row r="124" spans="1:8" ht="12.75">
      <c r="A124" s="73"/>
      <c r="B124" s="60"/>
      <c r="C124" s="61"/>
      <c r="D124" s="62"/>
      <c r="E124" s="62"/>
      <c r="F124" s="62"/>
      <c r="G124" s="63"/>
      <c r="H124" s="64"/>
    </row>
    <row r="125" spans="1:8" ht="12.75">
      <c r="A125" s="74"/>
      <c r="B125" s="38"/>
      <c r="C125" s="38"/>
      <c r="D125" s="39"/>
      <c r="E125" s="39"/>
      <c r="F125" s="39"/>
      <c r="G125" s="23"/>
      <c r="H125" s="65"/>
    </row>
    <row r="126" spans="1:8" ht="12.75">
      <c r="A126" s="74"/>
      <c r="B126" s="38"/>
      <c r="C126" s="38"/>
      <c r="D126" s="39"/>
      <c r="E126" s="39"/>
      <c r="F126" s="39"/>
      <c r="G126" s="23"/>
      <c r="H126" s="65"/>
    </row>
    <row r="127" spans="1:8" ht="12.75">
      <c r="A127" s="74"/>
      <c r="B127" s="38"/>
      <c r="C127" s="38"/>
      <c r="D127" s="39"/>
      <c r="E127" s="39"/>
      <c r="F127" s="39"/>
      <c r="G127" s="23"/>
      <c r="H127" s="65"/>
    </row>
    <row r="128" spans="1:8" ht="12.75">
      <c r="A128" s="74"/>
      <c r="B128" s="38"/>
      <c r="C128" s="38"/>
      <c r="D128" s="39"/>
      <c r="E128" s="39"/>
      <c r="F128" s="39"/>
      <c r="G128" s="23"/>
      <c r="H128" s="65"/>
    </row>
    <row r="129" spans="1:8" ht="13.5" thickBot="1">
      <c r="A129" s="75"/>
      <c r="B129" s="66"/>
      <c r="C129" s="67"/>
      <c r="D129" s="68"/>
      <c r="E129" s="68"/>
      <c r="F129" s="68"/>
      <c r="G129" s="69"/>
      <c r="H129" s="70"/>
    </row>
  </sheetData>
  <mergeCells count="4">
    <mergeCell ref="A11:H11"/>
    <mergeCell ref="B7:H7"/>
    <mergeCell ref="B8:H8"/>
    <mergeCell ref="B9:H9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J71"/>
  <sheetViews>
    <sheetView showGridLines="0" view="pageBreakPreview" zoomScaleNormal="70" zoomScaleSheetLayoutView="100" workbookViewId="0" topLeftCell="A1">
      <selection activeCell="T21" sqref="T21:T23"/>
    </sheetView>
  </sheetViews>
  <sheetFormatPr defaultColWidth="9.140625" defaultRowHeight="12.75"/>
  <cols>
    <col min="1" max="1" width="6.7109375" style="144" customWidth="1"/>
    <col min="2" max="2" width="30.7109375" style="144" customWidth="1"/>
    <col min="3" max="3" width="12.7109375" style="144" customWidth="1"/>
    <col min="4" max="4" width="8.140625" style="144" customWidth="1"/>
    <col min="5" max="5" width="12.7109375" style="144" customWidth="1"/>
    <col min="6" max="6" width="8.140625" style="144" customWidth="1"/>
    <col min="7" max="7" width="12.7109375" style="144" hidden="1" customWidth="1"/>
    <col min="8" max="8" width="8.140625" style="144" hidden="1" customWidth="1"/>
    <col min="9" max="16384" width="11.421875" style="144" customWidth="1"/>
  </cols>
  <sheetData>
    <row r="1" spans="1:8" ht="11.25">
      <c r="A1" s="143"/>
      <c r="B1" s="143"/>
      <c r="C1" s="143"/>
      <c r="D1" s="143"/>
      <c r="F1" s="143"/>
      <c r="H1" s="143"/>
    </row>
    <row r="2" spans="1:8" ht="11.25">
      <c r="A2" s="143"/>
      <c r="B2" s="143"/>
      <c r="C2" s="143"/>
      <c r="D2" s="143"/>
      <c r="F2" s="143"/>
      <c r="H2" s="143"/>
    </row>
    <row r="3" spans="1:8" ht="11.25">
      <c r="A3" s="143"/>
      <c r="B3" s="143"/>
      <c r="C3" s="143"/>
      <c r="D3" s="143"/>
      <c r="F3" s="143"/>
      <c r="H3" s="143"/>
    </row>
    <row r="4" spans="1:8" ht="11.25">
      <c r="A4" s="143"/>
      <c r="B4" s="143"/>
      <c r="C4" s="143"/>
      <c r="D4" s="143"/>
      <c r="F4" s="143"/>
      <c r="H4" s="143"/>
    </row>
    <row r="5" spans="1:8" ht="11.25">
      <c r="A5" s="143"/>
      <c r="B5" s="143"/>
      <c r="C5" s="143"/>
      <c r="D5" s="143"/>
      <c r="F5" s="143"/>
      <c r="H5" s="143"/>
    </row>
    <row r="6" spans="1:8" ht="11.25">
      <c r="A6" s="143"/>
      <c r="B6" s="143"/>
      <c r="C6" s="143"/>
      <c r="D6" s="143"/>
      <c r="F6" s="143"/>
      <c r="H6" s="143"/>
    </row>
    <row r="7" spans="1:8" ht="11.25">
      <c r="A7" s="143"/>
      <c r="B7" s="143"/>
      <c r="C7" s="143"/>
      <c r="D7" s="143"/>
      <c r="F7" s="143"/>
      <c r="H7" s="143"/>
    </row>
    <row r="8" spans="1:8" ht="11.25">
      <c r="A8" s="143"/>
      <c r="B8" s="143"/>
      <c r="C8" s="143"/>
      <c r="D8" s="143"/>
      <c r="F8" s="143"/>
      <c r="H8" s="143"/>
    </row>
    <row r="9" spans="1:8" ht="18">
      <c r="A9" s="145"/>
      <c r="B9" s="189" t="s">
        <v>226</v>
      </c>
      <c r="C9" s="189"/>
      <c r="D9" s="189"/>
      <c r="E9" s="189"/>
      <c r="F9" s="189"/>
      <c r="G9" s="189"/>
      <c r="H9" s="143"/>
    </row>
    <row r="10" spans="1:7" s="147" customFormat="1" ht="15" customHeight="1">
      <c r="A10" s="134"/>
      <c r="B10" s="146" t="s">
        <v>260</v>
      </c>
      <c r="D10" s="148"/>
      <c r="E10" s="148"/>
      <c r="F10" s="148"/>
      <c r="G10" s="148"/>
    </row>
    <row r="11" spans="1:7" s="147" customFormat="1" ht="15" customHeight="1">
      <c r="A11" s="134"/>
      <c r="B11" s="146" t="s">
        <v>227</v>
      </c>
      <c r="D11" s="148"/>
      <c r="E11" s="148"/>
      <c r="F11" s="148"/>
      <c r="G11" s="149"/>
    </row>
    <row r="12" spans="1:2" ht="15" customHeight="1">
      <c r="A12" s="134"/>
      <c r="B12" s="78" t="s">
        <v>228</v>
      </c>
    </row>
    <row r="13" spans="1:5" ht="15" customHeight="1">
      <c r="A13" s="150"/>
      <c r="B13" s="134" t="s">
        <v>229</v>
      </c>
      <c r="C13" s="151">
        <v>0.2409</v>
      </c>
      <c r="D13" s="190">
        <f>'Reforma Terminal Rod Simolândia'!H117</f>
        <v>54497.18442803001</v>
      </c>
      <c r="E13" s="190"/>
    </row>
    <row r="14" spans="1:2" ht="15" customHeight="1">
      <c r="A14" s="152"/>
      <c r="B14" s="78" t="s">
        <v>261</v>
      </c>
    </row>
    <row r="15" spans="1:8" ht="12.75" customHeight="1">
      <c r="A15" s="203" t="s">
        <v>230</v>
      </c>
      <c r="B15" s="201" t="s">
        <v>231</v>
      </c>
      <c r="C15" s="153"/>
      <c r="D15" s="154"/>
      <c r="E15" s="199" t="s">
        <v>262</v>
      </c>
      <c r="F15" s="200"/>
      <c r="G15" s="199" t="s">
        <v>232</v>
      </c>
      <c r="H15" s="200"/>
    </row>
    <row r="16" spans="1:8" ht="10.5" customHeight="1">
      <c r="A16" s="204"/>
      <c r="B16" s="197"/>
      <c r="C16" s="201" t="s">
        <v>233</v>
      </c>
      <c r="D16" s="201" t="s">
        <v>234</v>
      </c>
      <c r="E16" s="197" t="s">
        <v>235</v>
      </c>
      <c r="F16" s="197" t="s">
        <v>234</v>
      </c>
      <c r="G16" s="197" t="s">
        <v>235</v>
      </c>
      <c r="H16" s="197" t="s">
        <v>234</v>
      </c>
    </row>
    <row r="17" spans="1:8" ht="15" customHeight="1">
      <c r="A17" s="205"/>
      <c r="B17" s="198"/>
      <c r="C17" s="198"/>
      <c r="D17" s="198"/>
      <c r="E17" s="198"/>
      <c r="F17" s="198"/>
      <c r="G17" s="198"/>
      <c r="H17" s="198"/>
    </row>
    <row r="18" spans="1:10" ht="19.5" customHeight="1">
      <c r="A18" s="155" t="s">
        <v>236</v>
      </c>
      <c r="B18" s="156" t="s">
        <v>237</v>
      </c>
      <c r="C18" s="157">
        <f>'Reforma Terminal Rod Simolândia'!H21*(1+C13)</f>
        <v>3787.26477154</v>
      </c>
      <c r="D18" s="158">
        <f aca="true" t="shared" si="0" ref="D18:D29">C18/$C$30</f>
        <v>0.06949468695105768</v>
      </c>
      <c r="E18" s="159">
        <f>C18*F18</f>
        <v>3787.26477154</v>
      </c>
      <c r="F18" s="160">
        <v>1</v>
      </c>
      <c r="G18" s="161"/>
      <c r="H18" s="162"/>
      <c r="I18" s="163"/>
      <c r="J18" s="164"/>
    </row>
    <row r="19" spans="1:10" ht="19.5" customHeight="1">
      <c r="A19" s="155" t="s">
        <v>238</v>
      </c>
      <c r="B19" s="156" t="s">
        <v>73</v>
      </c>
      <c r="C19" s="157">
        <f>'Reforma Terminal Rod Simolândia'!H25*(1+$C$13)</f>
        <v>139.824612</v>
      </c>
      <c r="D19" s="158">
        <f t="shared" si="0"/>
        <v>0.0025657217609958366</v>
      </c>
      <c r="E19" s="159">
        <f>C19*F19</f>
        <v>139.824612</v>
      </c>
      <c r="F19" s="160">
        <v>1</v>
      </c>
      <c r="G19" s="161"/>
      <c r="H19" s="162"/>
      <c r="I19" s="163"/>
      <c r="J19" s="164"/>
    </row>
    <row r="20" spans="1:10" ht="19.5" customHeight="1">
      <c r="A20" s="155" t="s">
        <v>239</v>
      </c>
      <c r="B20" s="156" t="s">
        <v>240</v>
      </c>
      <c r="C20" s="157">
        <f>'Reforma Terminal Rod Simolândia'!H51*(1+$C$13)</f>
        <v>7529.173158999998</v>
      </c>
      <c r="D20" s="158">
        <f t="shared" si="0"/>
        <v>0.1381571036746525</v>
      </c>
      <c r="E20" s="159">
        <f>C20*F20</f>
        <v>7529.173158999998</v>
      </c>
      <c r="F20" s="160">
        <v>1</v>
      </c>
      <c r="G20" s="159">
        <f>C20*H20</f>
        <v>3764.586579499999</v>
      </c>
      <c r="H20" s="160">
        <v>0.5</v>
      </c>
      <c r="I20" s="163"/>
      <c r="J20" s="164"/>
    </row>
    <row r="21" spans="1:10" ht="19.5" customHeight="1">
      <c r="A21" s="155" t="s">
        <v>241</v>
      </c>
      <c r="B21" s="156" t="s">
        <v>242</v>
      </c>
      <c r="C21" s="157">
        <f>'Reforma Terminal Rod Simolândia'!H65*(1+$C$13)</f>
        <v>4436.2175</v>
      </c>
      <c r="D21" s="158">
        <f t="shared" si="0"/>
        <v>0.08140269165388814</v>
      </c>
      <c r="E21" s="159">
        <f aca="true" t="shared" si="1" ref="E21:E29">$C21*F21</f>
        <v>4436.2175</v>
      </c>
      <c r="F21" s="160">
        <v>1</v>
      </c>
      <c r="G21" s="161"/>
      <c r="H21" s="162"/>
      <c r="I21" s="163"/>
      <c r="J21" s="164"/>
    </row>
    <row r="22" spans="1:10" ht="19.5" customHeight="1">
      <c r="A22" s="155" t="s">
        <v>243</v>
      </c>
      <c r="B22" s="156" t="s">
        <v>247</v>
      </c>
      <c r="C22" s="157">
        <f>'Reforma Terminal Rod Simolândia'!H69*(1+$C$13)</f>
        <v>431.46092999999996</v>
      </c>
      <c r="D22" s="158">
        <f t="shared" si="0"/>
        <v>0.007917123325330603</v>
      </c>
      <c r="E22" s="159">
        <f t="shared" si="1"/>
        <v>431.46092999999996</v>
      </c>
      <c r="F22" s="160">
        <v>1</v>
      </c>
      <c r="G22" s="161"/>
      <c r="H22" s="162"/>
      <c r="I22" s="163"/>
      <c r="J22" s="164"/>
    </row>
    <row r="23" spans="1:10" ht="19.5" customHeight="1">
      <c r="A23" s="155" t="s">
        <v>244</v>
      </c>
      <c r="B23" s="156" t="s">
        <v>55</v>
      </c>
      <c r="C23" s="157">
        <f>'Reforma Terminal Rod Simolândia'!H74*(1+$C$13)</f>
        <v>637.4503299999999</v>
      </c>
      <c r="D23" s="158">
        <f t="shared" si="0"/>
        <v>0.01169694061611254</v>
      </c>
      <c r="E23" s="159">
        <f t="shared" si="1"/>
        <v>637.4503299999999</v>
      </c>
      <c r="F23" s="160">
        <v>1</v>
      </c>
      <c r="G23" s="161"/>
      <c r="H23" s="162"/>
      <c r="I23" s="163"/>
      <c r="J23" s="164"/>
    </row>
    <row r="24" spans="1:10" ht="19.5" customHeight="1">
      <c r="A24" s="155" t="s">
        <v>245</v>
      </c>
      <c r="B24" s="156" t="s">
        <v>251</v>
      </c>
      <c r="C24" s="157">
        <f>'Reforma Terminal Rod Simolândia'!H80*(1+$C$13)</f>
        <v>7873.6718169999995</v>
      </c>
      <c r="D24" s="158">
        <f t="shared" si="0"/>
        <v>0.14447850654373015</v>
      </c>
      <c r="E24" s="159">
        <f t="shared" si="1"/>
        <v>7873.6718169999995</v>
      </c>
      <c r="F24" s="160">
        <v>1</v>
      </c>
      <c r="G24" s="159">
        <f>$C24*H24</f>
        <v>3936.8359084999997</v>
      </c>
      <c r="H24" s="160">
        <v>0.5</v>
      </c>
      <c r="I24" s="163"/>
      <c r="J24" s="164"/>
    </row>
    <row r="25" spans="1:10" ht="19.5" customHeight="1">
      <c r="A25" s="155" t="s">
        <v>246</v>
      </c>
      <c r="B25" s="156" t="s">
        <v>59</v>
      </c>
      <c r="C25" s="157">
        <f>'Reforma Terminal Rod Simolândia'!H84*(1+$C$13)</f>
        <v>38.902215</v>
      </c>
      <c r="D25" s="158">
        <f t="shared" si="0"/>
        <v>0.0007138389883494807</v>
      </c>
      <c r="E25" s="159">
        <f t="shared" si="1"/>
        <v>38.902215</v>
      </c>
      <c r="F25" s="160">
        <v>1</v>
      </c>
      <c r="G25" s="159">
        <f>$C25*H25</f>
        <v>19.4511075</v>
      </c>
      <c r="H25" s="160">
        <v>0.5</v>
      </c>
      <c r="I25" s="163"/>
      <c r="J25" s="164"/>
    </row>
    <row r="26" spans="1:10" ht="19.5" customHeight="1">
      <c r="A26" s="155" t="s">
        <v>248</v>
      </c>
      <c r="B26" s="156" t="s">
        <v>57</v>
      </c>
      <c r="C26" s="157">
        <f>'Reforma Terminal Rod Simolândia'!H88*(1+$C$13)</f>
        <v>177.67206199999998</v>
      </c>
      <c r="D26" s="158">
        <f t="shared" si="0"/>
        <v>0.003260206263217819</v>
      </c>
      <c r="E26" s="159">
        <f t="shared" si="1"/>
        <v>177.67206199999998</v>
      </c>
      <c r="F26" s="160">
        <v>1</v>
      </c>
      <c r="G26" s="161"/>
      <c r="H26" s="162"/>
      <c r="I26" s="163"/>
      <c r="J26" s="164"/>
    </row>
    <row r="27" spans="1:10" ht="19.5" customHeight="1">
      <c r="A27" s="155" t="s">
        <v>249</v>
      </c>
      <c r="B27" s="156" t="s">
        <v>152</v>
      </c>
      <c r="C27" s="157">
        <f>'Reforma Terminal Rod Simolândia'!H94*(1+$C$13)</f>
        <v>15207.353589999997</v>
      </c>
      <c r="D27" s="158">
        <f t="shared" si="0"/>
        <v>0.27904842698952853</v>
      </c>
      <c r="E27" s="159">
        <f t="shared" si="1"/>
        <v>15207.353589999997</v>
      </c>
      <c r="F27" s="160">
        <v>1</v>
      </c>
      <c r="G27" s="161"/>
      <c r="H27" s="162"/>
      <c r="I27" s="163"/>
      <c r="J27" s="164"/>
    </row>
    <row r="28" spans="1:10" ht="19.5" customHeight="1">
      <c r="A28" s="155" t="s">
        <v>250</v>
      </c>
      <c r="B28" s="156" t="s">
        <v>21</v>
      </c>
      <c r="C28" s="157">
        <f>'Reforma Terminal Rod Simolândia'!H103*(1+$C$13)</f>
        <v>4508.2096784899995</v>
      </c>
      <c r="D28" s="158">
        <f t="shared" si="0"/>
        <v>0.08272371730403111</v>
      </c>
      <c r="E28" s="159">
        <f t="shared" si="1"/>
        <v>4508.2096784899995</v>
      </c>
      <c r="F28" s="160">
        <v>1</v>
      </c>
      <c r="G28" s="159">
        <f>$C28*H28</f>
        <v>3155.7467749429993</v>
      </c>
      <c r="H28" s="160">
        <v>0.7</v>
      </c>
      <c r="I28" s="163"/>
      <c r="J28" s="164"/>
    </row>
    <row r="29" spans="1:10" ht="19.5" customHeight="1" thickBot="1">
      <c r="A29" s="155" t="s">
        <v>252</v>
      </c>
      <c r="B29" s="165" t="s">
        <v>61</v>
      </c>
      <c r="C29" s="157">
        <f>'Reforma Terminal Rod Simolândia'!H112*(1+$C$13)</f>
        <v>9729.983762999998</v>
      </c>
      <c r="D29" s="158">
        <f t="shared" si="0"/>
        <v>0.1785410359291056</v>
      </c>
      <c r="E29" s="159">
        <f t="shared" si="1"/>
        <v>9729.983762999998</v>
      </c>
      <c r="F29" s="160">
        <v>1</v>
      </c>
      <c r="G29" s="159">
        <f>$C29*H29</f>
        <v>9729.983762999998</v>
      </c>
      <c r="H29" s="160">
        <v>1</v>
      </c>
      <c r="I29" s="163"/>
      <c r="J29" s="164"/>
    </row>
    <row r="30" spans="1:8" ht="19.5" customHeight="1" thickTop="1">
      <c r="A30" s="166"/>
      <c r="B30" s="167" t="s">
        <v>253</v>
      </c>
      <c r="C30" s="168">
        <f>SUM(C18:C29)</f>
        <v>54497.18442802999</v>
      </c>
      <c r="D30" s="169">
        <f>SUM(D18:D29)</f>
        <v>1</v>
      </c>
      <c r="E30" s="170"/>
      <c r="F30" s="170"/>
      <c r="G30" s="170"/>
      <c r="H30" s="170"/>
    </row>
    <row r="31" spans="1:10" ht="19.5" customHeight="1">
      <c r="A31" s="191"/>
      <c r="B31" s="192"/>
      <c r="C31" s="195" t="s">
        <v>254</v>
      </c>
      <c r="D31" s="196"/>
      <c r="E31" s="171">
        <f>SUM(E18:E29)</f>
        <v>54497.18442802999</v>
      </c>
      <c r="F31" s="172">
        <f>SUMPRODUCT($D18:$D29,F18:F29)</f>
        <v>1</v>
      </c>
      <c r="G31" s="171">
        <f>SUM(G18:G29)</f>
        <v>20606.604133442997</v>
      </c>
      <c r="H31" s="172">
        <f>SUMPRODUCT($D18:$D29,H18:H29)</f>
        <v>0.3781223626452935</v>
      </c>
      <c r="J31" s="164"/>
    </row>
    <row r="32" spans="1:8" ht="19.5" customHeight="1">
      <c r="A32" s="193"/>
      <c r="B32" s="194"/>
      <c r="C32" s="195" t="s">
        <v>255</v>
      </c>
      <c r="D32" s="196"/>
      <c r="E32" s="171">
        <f>E31</f>
        <v>54497.18442802999</v>
      </c>
      <c r="F32" s="172">
        <f>F31</f>
        <v>1</v>
      </c>
      <c r="G32" s="171">
        <f>E32+G31</f>
        <v>75103.78856147299</v>
      </c>
      <c r="H32" s="172">
        <f>F32+H31</f>
        <v>1.3781223626452934</v>
      </c>
    </row>
    <row r="33" spans="1:8" ht="11.25">
      <c r="A33" s="173"/>
      <c r="B33" s="173"/>
      <c r="C33" s="173"/>
      <c r="D33" s="173"/>
      <c r="E33" s="173"/>
      <c r="F33" s="173"/>
      <c r="G33" s="173"/>
      <c r="H33" s="173"/>
    </row>
    <row r="34" spans="1:8" ht="11.25">
      <c r="A34" s="173"/>
      <c r="B34" s="173"/>
      <c r="C34" s="173"/>
      <c r="D34" s="173"/>
      <c r="E34" s="173"/>
      <c r="F34" s="173"/>
      <c r="G34" s="173"/>
      <c r="H34" s="173"/>
    </row>
    <row r="35" spans="1:8" ht="11.25">
      <c r="A35" s="173"/>
      <c r="B35" s="173"/>
      <c r="C35" s="202"/>
      <c r="D35" s="202"/>
      <c r="E35" s="173"/>
      <c r="F35" s="173"/>
      <c r="G35" s="173"/>
      <c r="H35" s="173"/>
    </row>
    <row r="36" spans="1:8" ht="11.25">
      <c r="A36" s="173"/>
      <c r="B36" s="173"/>
      <c r="C36" s="202"/>
      <c r="D36" s="202"/>
      <c r="E36" s="173"/>
      <c r="F36" s="173"/>
      <c r="G36" s="173"/>
      <c r="H36" s="173"/>
    </row>
    <row r="37" spans="1:8" ht="11.25">
      <c r="A37" s="173"/>
      <c r="B37" s="173"/>
      <c r="C37" s="173"/>
      <c r="D37" s="173"/>
      <c r="E37" s="173"/>
      <c r="F37" s="173"/>
      <c r="G37" s="173"/>
      <c r="H37" s="173"/>
    </row>
    <row r="38" spans="1:8" ht="11.25">
      <c r="A38" s="173"/>
      <c r="B38" s="173"/>
      <c r="C38" s="173"/>
      <c r="D38" s="173"/>
      <c r="E38" s="173"/>
      <c r="F38" s="173"/>
      <c r="G38" s="173"/>
      <c r="H38" s="173"/>
    </row>
    <row r="39" spans="1:8" ht="11.25">
      <c r="A39" s="173"/>
      <c r="B39" s="173"/>
      <c r="C39" s="173"/>
      <c r="D39" s="173"/>
      <c r="E39" s="173"/>
      <c r="F39" s="173"/>
      <c r="G39" s="173"/>
      <c r="H39" s="173"/>
    </row>
    <row r="40" spans="1:8" ht="11.25">
      <c r="A40" s="173"/>
      <c r="B40" s="173"/>
      <c r="C40" s="173"/>
      <c r="D40" s="173"/>
      <c r="E40" s="173"/>
      <c r="F40" s="173"/>
      <c r="G40" s="173"/>
      <c r="H40" s="173"/>
    </row>
    <row r="41" spans="1:8" ht="11.25">
      <c r="A41" s="173"/>
      <c r="B41" s="173"/>
      <c r="C41" s="173"/>
      <c r="D41" s="173"/>
      <c r="E41" s="173"/>
      <c r="F41" s="173"/>
      <c r="G41" s="173"/>
      <c r="H41" s="173"/>
    </row>
    <row r="42" spans="1:8" ht="11.25">
      <c r="A42" s="173"/>
      <c r="B42" s="173"/>
      <c r="C42" s="173"/>
      <c r="D42" s="173"/>
      <c r="E42" s="173"/>
      <c r="F42" s="173"/>
      <c r="G42" s="173"/>
      <c r="H42" s="173"/>
    </row>
    <row r="43" spans="1:8" ht="11.25">
      <c r="A43" s="173"/>
      <c r="B43" s="173"/>
      <c r="C43" s="173"/>
      <c r="D43" s="173"/>
      <c r="E43" s="173"/>
      <c r="F43" s="173"/>
      <c r="G43" s="173"/>
      <c r="H43" s="173"/>
    </row>
    <row r="44" spans="1:8" ht="11.25">
      <c r="A44" s="173"/>
      <c r="B44" s="173"/>
      <c r="C44" s="173"/>
      <c r="D44" s="173"/>
      <c r="E44" s="173"/>
      <c r="F44" s="173"/>
      <c r="G44" s="173"/>
      <c r="H44" s="173"/>
    </row>
    <row r="45" spans="1:8" ht="11.25">
      <c r="A45" s="173"/>
      <c r="B45" s="173"/>
      <c r="C45" s="173"/>
      <c r="D45" s="173"/>
      <c r="E45" s="173"/>
      <c r="F45" s="173"/>
      <c r="G45" s="173"/>
      <c r="H45" s="173"/>
    </row>
    <row r="46" spans="1:8" ht="11.25">
      <c r="A46" s="173"/>
      <c r="B46" s="173"/>
      <c r="C46" s="173"/>
      <c r="D46" s="173"/>
      <c r="E46" s="173"/>
      <c r="F46" s="173"/>
      <c r="G46" s="173"/>
      <c r="H46" s="173"/>
    </row>
    <row r="47" spans="1:8" ht="11.25">
      <c r="A47" s="173"/>
      <c r="B47" s="173"/>
      <c r="C47" s="173"/>
      <c r="D47" s="173"/>
      <c r="E47" s="173"/>
      <c r="F47" s="173"/>
      <c r="G47" s="173"/>
      <c r="H47" s="173"/>
    </row>
    <row r="48" spans="1:8" ht="11.25">
      <c r="A48" s="173"/>
      <c r="B48" s="173"/>
      <c r="C48" s="173"/>
      <c r="D48" s="173"/>
      <c r="E48" s="173"/>
      <c r="F48" s="173"/>
      <c r="G48" s="173"/>
      <c r="H48" s="173"/>
    </row>
    <row r="49" spans="1:8" ht="11.25">
      <c r="A49" s="207"/>
      <c r="B49" s="207"/>
      <c r="C49" s="207"/>
      <c r="D49" s="208"/>
      <c r="E49" s="208"/>
      <c r="F49" s="208"/>
      <c r="G49" s="208"/>
      <c r="H49" s="174"/>
    </row>
    <row r="50" spans="1:8" ht="11.25">
      <c r="A50" s="207"/>
      <c r="B50" s="207"/>
      <c r="C50" s="207"/>
      <c r="D50" s="208"/>
      <c r="E50" s="208"/>
      <c r="F50" s="208"/>
      <c r="G50" s="208"/>
      <c r="H50" s="174"/>
    </row>
    <row r="51" spans="1:8" ht="11.25">
      <c r="A51" s="207"/>
      <c r="B51" s="207"/>
      <c r="C51" s="207"/>
      <c r="D51" s="208"/>
      <c r="E51" s="208"/>
      <c r="F51" s="208"/>
      <c r="G51" s="208"/>
      <c r="H51" s="174"/>
    </row>
    <row r="68" spans="1:6" ht="16.5" customHeight="1">
      <c r="A68" s="175" t="s">
        <v>256</v>
      </c>
      <c r="B68" s="176"/>
      <c r="C68" s="177"/>
      <c r="D68" s="164"/>
      <c r="E68" s="164"/>
      <c r="F68" s="164"/>
    </row>
    <row r="69" spans="1:8" ht="16.5" customHeight="1">
      <c r="A69" s="209" t="s">
        <v>259</v>
      </c>
      <c r="B69" s="209"/>
      <c r="C69" s="209"/>
      <c r="D69" s="209"/>
      <c r="E69" s="209"/>
      <c r="F69" s="209"/>
      <c r="G69" s="209"/>
      <c r="H69" s="209"/>
    </row>
    <row r="70" spans="1:8" ht="16.5" customHeight="1">
      <c r="A70" s="180" t="s">
        <v>257</v>
      </c>
      <c r="B70" s="180"/>
      <c r="C70" s="180"/>
      <c r="D70" s="180"/>
      <c r="E70" s="180"/>
      <c r="F70" s="180"/>
      <c r="G70" s="180"/>
      <c r="H70" s="180"/>
    </row>
    <row r="71" spans="1:8" ht="16.5" customHeight="1">
      <c r="A71" s="206" t="s">
        <v>258</v>
      </c>
      <c r="B71" s="206"/>
      <c r="C71" s="206"/>
      <c r="D71" s="206"/>
      <c r="E71" s="206"/>
      <c r="F71" s="206"/>
      <c r="G71" s="206"/>
      <c r="H71" s="206"/>
    </row>
  </sheetData>
  <mergeCells count="26">
    <mergeCell ref="D49:G49"/>
    <mergeCell ref="A49:C49"/>
    <mergeCell ref="A69:H69"/>
    <mergeCell ref="A70:H70"/>
    <mergeCell ref="A71:H71"/>
    <mergeCell ref="A50:C50"/>
    <mergeCell ref="A51:C51"/>
    <mergeCell ref="D50:G50"/>
    <mergeCell ref="D51:G51"/>
    <mergeCell ref="C35:D35"/>
    <mergeCell ref="C36:D36"/>
    <mergeCell ref="A15:A17"/>
    <mergeCell ref="E15:F15"/>
    <mergeCell ref="E16:E17"/>
    <mergeCell ref="F16:F17"/>
    <mergeCell ref="C16:C17"/>
    <mergeCell ref="D16:D17"/>
    <mergeCell ref="B9:G9"/>
    <mergeCell ref="D13:E13"/>
    <mergeCell ref="A31:B32"/>
    <mergeCell ref="C31:D31"/>
    <mergeCell ref="C32:D32"/>
    <mergeCell ref="G16:G17"/>
    <mergeCell ref="G15:H15"/>
    <mergeCell ref="B15:B17"/>
    <mergeCell ref="H16:H17"/>
  </mergeCells>
  <printOptions horizontalCentered="1" verticalCentered="1"/>
  <pageMargins left="0.1968503937007874" right="0.15748031496062992" top="0.39" bottom="0.4330708661417323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1">
      <pane xSplit="12" ySplit="7" topLeftCell="Q89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T21" sqref="T21:T23"/>
    </sheetView>
  </sheetViews>
  <sheetFormatPr defaultColWidth="9.140625" defaultRowHeight="12.75"/>
  <cols>
    <col min="1" max="1" width="14.7109375" style="90" customWidth="1"/>
    <col min="2" max="3" width="2.7109375" style="98" customWidth="1"/>
    <col min="4" max="4" width="5.7109375" style="98" customWidth="1"/>
    <col min="5" max="7" width="5.7109375" style="90" customWidth="1"/>
    <col min="8" max="8" width="4.7109375" style="90" customWidth="1"/>
    <col min="9" max="9" width="7.7109375" style="98" customWidth="1"/>
    <col min="10" max="10" width="7.7109375" style="126" customWidth="1"/>
    <col min="11" max="11" width="5.7109375" style="126" customWidth="1"/>
    <col min="12" max="12" width="6.28125" style="126" customWidth="1"/>
    <col min="13" max="13" width="9.7109375" style="90" customWidth="1"/>
    <col min="14" max="17" width="8.7109375" style="90" customWidth="1"/>
    <col min="18" max="20" width="10.140625" style="90" customWidth="1"/>
    <col min="21" max="25" width="8.7109375" style="90" customWidth="1"/>
    <col min="26" max="16384" width="9.140625" style="90" customWidth="1"/>
  </cols>
  <sheetData>
    <row r="1" spans="1:25" ht="12.75">
      <c r="A1" s="80" t="s">
        <v>22</v>
      </c>
      <c r="B1" s="81" t="s">
        <v>170</v>
      </c>
      <c r="C1" s="82"/>
      <c r="D1" s="83"/>
      <c r="E1" s="84"/>
      <c r="F1" s="84"/>
      <c r="G1" s="85"/>
      <c r="H1" s="85"/>
      <c r="I1" s="86"/>
      <c r="J1" s="241" t="s">
        <v>107</v>
      </c>
      <c r="K1" s="87">
        <v>1</v>
      </c>
      <c r="L1" s="88" t="s">
        <v>108</v>
      </c>
      <c r="M1" s="87"/>
      <c r="N1" s="88"/>
      <c r="O1" s="88"/>
      <c r="P1" s="88"/>
      <c r="Q1" s="88"/>
      <c r="R1" s="88"/>
      <c r="S1" s="88"/>
      <c r="T1" s="88"/>
      <c r="U1" s="234" t="s">
        <v>107</v>
      </c>
      <c r="V1" s="87">
        <v>1</v>
      </c>
      <c r="W1" s="89" t="s">
        <v>109</v>
      </c>
      <c r="X1" s="88"/>
      <c r="Y1" s="88"/>
    </row>
    <row r="2" spans="1:25" ht="12.75">
      <c r="A2" s="80" t="s">
        <v>23</v>
      </c>
      <c r="B2" s="81" t="s">
        <v>61</v>
      </c>
      <c r="C2" s="82"/>
      <c r="D2" s="83"/>
      <c r="E2" s="91"/>
      <c r="F2" s="92"/>
      <c r="G2" s="92"/>
      <c r="H2" s="92"/>
      <c r="I2" s="86"/>
      <c r="J2" s="241"/>
      <c r="K2" s="87">
        <v>2</v>
      </c>
      <c r="L2" s="88" t="s">
        <v>110</v>
      </c>
      <c r="M2" s="87"/>
      <c r="N2" s="88"/>
      <c r="O2" s="88"/>
      <c r="P2" s="88"/>
      <c r="Q2" s="88"/>
      <c r="R2" s="88"/>
      <c r="S2" s="88"/>
      <c r="T2" s="88"/>
      <c r="U2" s="234"/>
      <c r="V2" s="87">
        <v>2</v>
      </c>
      <c r="W2" s="88" t="s">
        <v>111</v>
      </c>
      <c r="X2" s="88"/>
      <c r="Y2" s="88"/>
    </row>
    <row r="3" spans="1:25" ht="12.75">
      <c r="A3" s="80"/>
      <c r="B3" s="94"/>
      <c r="C3" s="95"/>
      <c r="D3" s="96"/>
      <c r="H3" s="97"/>
      <c r="J3" s="242"/>
      <c r="K3" s="87">
        <v>3</v>
      </c>
      <c r="L3" s="88"/>
      <c r="M3" s="87"/>
      <c r="N3" s="88"/>
      <c r="O3" s="88"/>
      <c r="P3" s="88"/>
      <c r="Q3" s="88"/>
      <c r="R3" s="132"/>
      <c r="S3" s="87"/>
      <c r="T3" s="87"/>
      <c r="U3" s="87"/>
      <c r="V3" s="87"/>
      <c r="W3" s="87"/>
      <c r="X3" s="87"/>
      <c r="Y3" s="87"/>
    </row>
    <row r="4" spans="1:25" ht="12.75">
      <c r="A4" s="100"/>
      <c r="B4" s="101"/>
      <c r="C4" s="101"/>
      <c r="D4" s="101"/>
      <c r="H4" s="97"/>
      <c r="J4" s="99"/>
      <c r="K4" s="87"/>
      <c r="L4" s="88"/>
      <c r="M4" s="87"/>
      <c r="N4" s="88"/>
      <c r="O4" s="88"/>
      <c r="P4" s="88"/>
      <c r="Q4" s="88"/>
      <c r="R4" s="87"/>
      <c r="S4" s="87"/>
      <c r="T4" s="87"/>
      <c r="U4" s="87"/>
      <c r="V4" s="87"/>
      <c r="W4" s="87"/>
      <c r="X4" s="87"/>
      <c r="Y4" s="87"/>
    </row>
    <row r="5" spans="2:22" s="102" customFormat="1" ht="12.75">
      <c r="B5" s="103"/>
      <c r="C5" s="103"/>
      <c r="D5" s="104"/>
      <c r="E5" s="104"/>
      <c r="F5" s="104"/>
      <c r="G5" s="104"/>
      <c r="H5" s="103"/>
      <c r="I5" s="105"/>
      <c r="J5" s="105"/>
      <c r="K5" s="106"/>
      <c r="M5" s="210" t="s">
        <v>112</v>
      </c>
      <c r="N5" s="253"/>
      <c r="O5" s="253"/>
      <c r="P5" s="253"/>
      <c r="Q5" s="253"/>
      <c r="R5" s="210" t="s">
        <v>113</v>
      </c>
      <c r="S5" s="211"/>
      <c r="T5" s="181" t="s">
        <v>114</v>
      </c>
      <c r="U5" s="178"/>
      <c r="V5" s="179"/>
    </row>
    <row r="6" spans="1:22" s="102" customFormat="1" ht="12.75" customHeight="1">
      <c r="A6" s="107" t="s">
        <v>115</v>
      </c>
      <c r="B6" s="239" t="s">
        <v>116</v>
      </c>
      <c r="C6" s="239" t="s">
        <v>107</v>
      </c>
      <c r="D6" s="243" t="s">
        <v>117</v>
      </c>
      <c r="E6" s="243" t="s">
        <v>118</v>
      </c>
      <c r="F6" s="243" t="s">
        <v>119</v>
      </c>
      <c r="G6" s="243" t="s">
        <v>120</v>
      </c>
      <c r="H6" s="247" t="s">
        <v>121</v>
      </c>
      <c r="I6" s="248"/>
      <c r="J6" s="248"/>
      <c r="K6" s="249"/>
      <c r="L6" s="250" t="s">
        <v>122</v>
      </c>
      <c r="M6" s="235" t="s">
        <v>123</v>
      </c>
      <c r="N6" s="235" t="s">
        <v>124</v>
      </c>
      <c r="O6" s="237" t="s">
        <v>126</v>
      </c>
      <c r="P6" s="237" t="s">
        <v>125</v>
      </c>
      <c r="Q6" s="237" t="s">
        <v>135</v>
      </c>
      <c r="R6" s="237"/>
      <c r="S6" s="237" t="s">
        <v>126</v>
      </c>
      <c r="T6" s="237" t="s">
        <v>132</v>
      </c>
      <c r="U6" s="237" t="s">
        <v>133</v>
      </c>
      <c r="V6" s="252" t="s">
        <v>131</v>
      </c>
    </row>
    <row r="7" spans="1:22" s="102" customFormat="1" ht="12.75">
      <c r="A7" s="108" t="s">
        <v>127</v>
      </c>
      <c r="B7" s="240"/>
      <c r="C7" s="240"/>
      <c r="D7" s="244"/>
      <c r="E7" s="244"/>
      <c r="F7" s="244"/>
      <c r="G7" s="244"/>
      <c r="H7" s="109" t="s">
        <v>107</v>
      </c>
      <c r="I7" s="110" t="s">
        <v>128</v>
      </c>
      <c r="J7" s="110" t="s">
        <v>129</v>
      </c>
      <c r="K7" s="110" t="s">
        <v>116</v>
      </c>
      <c r="L7" s="251"/>
      <c r="M7" s="236"/>
      <c r="N7" s="236"/>
      <c r="O7" s="238"/>
      <c r="P7" s="238"/>
      <c r="Q7" s="238"/>
      <c r="R7" s="238"/>
      <c r="S7" s="238"/>
      <c r="T7" s="238"/>
      <c r="U7" s="238"/>
      <c r="V7" s="236"/>
    </row>
    <row r="8" spans="1:22" s="102" customFormat="1" ht="12.75">
      <c r="A8" s="212" t="s">
        <v>138</v>
      </c>
      <c r="B8" s="214">
        <v>1</v>
      </c>
      <c r="C8" s="214">
        <v>1</v>
      </c>
      <c r="D8" s="217">
        <v>2</v>
      </c>
      <c r="E8" s="217">
        <v>2.85</v>
      </c>
      <c r="F8" s="220">
        <f>2*(D8+E8)</f>
        <v>9.7</v>
      </c>
      <c r="G8" s="223">
        <v>2.6</v>
      </c>
      <c r="H8" s="111" t="s">
        <v>173</v>
      </c>
      <c r="I8" s="112">
        <v>0.8</v>
      </c>
      <c r="J8" s="112">
        <v>2.6</v>
      </c>
      <c r="K8" s="112">
        <v>1</v>
      </c>
      <c r="L8" s="113">
        <f aca="true" t="shared" si="0" ref="L8:L50">I8*J8*K8</f>
        <v>2.08</v>
      </c>
      <c r="M8" s="220">
        <v>0</v>
      </c>
      <c r="N8" s="220">
        <f>IF($C8&gt;1,(($F8*$G8)-($L8+$L9+$L10))*B8,0)</f>
        <v>0</v>
      </c>
      <c r="O8" s="220">
        <f>IF($C8=1,(($F8*$G8)-($L8+$L9+$L10))*B8,0)</f>
        <v>19.9</v>
      </c>
      <c r="P8" s="220">
        <v>0</v>
      </c>
      <c r="Q8" s="220">
        <v>0</v>
      </c>
      <c r="R8" s="226">
        <v>0</v>
      </c>
      <c r="S8" s="226">
        <f>A10*B8</f>
        <v>5.7</v>
      </c>
      <c r="T8" s="220">
        <f>I9*J9*K9*B8*2+I10*J10*K10*B8*2+I8*J8*K8*3*B8</f>
        <v>12.72</v>
      </c>
      <c r="U8" s="220">
        <v>0</v>
      </c>
      <c r="V8" s="220">
        <v>0</v>
      </c>
    </row>
    <row r="9" spans="1:22" s="102" customFormat="1" ht="12.75">
      <c r="A9" s="213"/>
      <c r="B9" s="215"/>
      <c r="C9" s="215"/>
      <c r="D9" s="218"/>
      <c r="E9" s="218"/>
      <c r="F9" s="221"/>
      <c r="G9" s="224"/>
      <c r="H9" s="111" t="s">
        <v>171</v>
      </c>
      <c r="I9" s="112">
        <v>1.8</v>
      </c>
      <c r="J9" s="112">
        <v>0.9</v>
      </c>
      <c r="K9" s="112">
        <v>1</v>
      </c>
      <c r="L9" s="113">
        <f t="shared" si="0"/>
        <v>1.62</v>
      </c>
      <c r="M9" s="221"/>
      <c r="N9" s="221"/>
      <c r="O9" s="221"/>
      <c r="P9" s="221"/>
      <c r="Q9" s="221"/>
      <c r="R9" s="227"/>
      <c r="S9" s="227"/>
      <c r="T9" s="221"/>
      <c r="U9" s="221"/>
      <c r="V9" s="221"/>
    </row>
    <row r="10" spans="1:22" s="102" customFormat="1" ht="12.75">
      <c r="A10" s="114">
        <f>2*2.85</f>
        <v>5.7</v>
      </c>
      <c r="B10" s="216"/>
      <c r="C10" s="216"/>
      <c r="D10" s="219"/>
      <c r="E10" s="219"/>
      <c r="F10" s="222"/>
      <c r="G10" s="225"/>
      <c r="H10" s="111" t="s">
        <v>172</v>
      </c>
      <c r="I10" s="112">
        <v>1.8</v>
      </c>
      <c r="J10" s="112">
        <v>0.9</v>
      </c>
      <c r="K10" s="112">
        <v>1</v>
      </c>
      <c r="L10" s="113">
        <f t="shared" si="0"/>
        <v>1.62</v>
      </c>
      <c r="M10" s="222"/>
      <c r="N10" s="222"/>
      <c r="O10" s="222"/>
      <c r="P10" s="222"/>
      <c r="Q10" s="222"/>
      <c r="R10" s="228"/>
      <c r="S10" s="228"/>
      <c r="T10" s="222"/>
      <c r="U10" s="222"/>
      <c r="V10" s="222"/>
    </row>
    <row r="11" spans="1:22" s="102" customFormat="1" ht="12.75">
      <c r="A11" s="229" t="s">
        <v>174</v>
      </c>
      <c r="B11" s="214">
        <v>1</v>
      </c>
      <c r="C11" s="231"/>
      <c r="D11" s="217"/>
      <c r="E11" s="217"/>
      <c r="F11" s="220"/>
      <c r="G11" s="217"/>
      <c r="H11" s="111" t="s">
        <v>173</v>
      </c>
      <c r="I11" s="112">
        <v>0.8</v>
      </c>
      <c r="J11" s="112">
        <v>2.6</v>
      </c>
      <c r="K11" s="112">
        <v>1</v>
      </c>
      <c r="L11" s="113">
        <f t="shared" si="0"/>
        <v>2.08</v>
      </c>
      <c r="M11" s="220">
        <v>0</v>
      </c>
      <c r="N11" s="220">
        <f>IF($C11&gt;1,(($F11*$G11)-($L11+$L12+$L13+$L14+$L15))*B11,0)</f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f>A15*B11</f>
        <v>11.4</v>
      </c>
      <c r="T11" s="220">
        <f>I14*J14*K14*B11*2+I15*J15*K15*B11*2+I11*J11*K11*3*B11</f>
        <v>9.3</v>
      </c>
      <c r="U11" s="220">
        <f>I12*J12*K12*B11*3+I13*J13*K13*B11*3</f>
        <v>9.600000000000001</v>
      </c>
      <c r="V11" s="220">
        <f>O11</f>
        <v>0</v>
      </c>
    </row>
    <row r="12" spans="1:22" s="102" customFormat="1" ht="12.75">
      <c r="A12" s="230"/>
      <c r="B12" s="215"/>
      <c r="C12" s="232"/>
      <c r="D12" s="218"/>
      <c r="E12" s="218"/>
      <c r="F12" s="221"/>
      <c r="G12" s="218"/>
      <c r="H12" s="111" t="s">
        <v>175</v>
      </c>
      <c r="I12" s="112">
        <v>0.8</v>
      </c>
      <c r="J12" s="112">
        <v>1.6</v>
      </c>
      <c r="K12" s="112">
        <v>1</v>
      </c>
      <c r="L12" s="113">
        <f t="shared" si="0"/>
        <v>1.2800000000000002</v>
      </c>
      <c r="M12" s="221"/>
      <c r="N12" s="221"/>
      <c r="O12" s="221"/>
      <c r="P12" s="221"/>
      <c r="Q12" s="221"/>
      <c r="R12" s="221"/>
      <c r="S12" s="221"/>
      <c r="T12" s="221"/>
      <c r="U12" s="221"/>
      <c r="V12" s="221"/>
    </row>
    <row r="13" spans="1:22" s="102" customFormat="1" ht="12.75">
      <c r="A13" s="230"/>
      <c r="B13" s="215"/>
      <c r="C13" s="232"/>
      <c r="D13" s="218"/>
      <c r="E13" s="218"/>
      <c r="F13" s="221"/>
      <c r="G13" s="218"/>
      <c r="H13" s="111" t="s">
        <v>176</v>
      </c>
      <c r="I13" s="112">
        <v>0.6</v>
      </c>
      <c r="J13" s="112">
        <v>1.6</v>
      </c>
      <c r="K13" s="112">
        <v>2</v>
      </c>
      <c r="L13" s="113">
        <f t="shared" si="0"/>
        <v>1.92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/>
    </row>
    <row r="14" spans="1:22" s="102" customFormat="1" ht="12.75">
      <c r="A14" s="230"/>
      <c r="B14" s="215"/>
      <c r="C14" s="232"/>
      <c r="D14" s="218"/>
      <c r="E14" s="218"/>
      <c r="F14" s="221"/>
      <c r="G14" s="218"/>
      <c r="H14" s="111" t="s">
        <v>139</v>
      </c>
      <c r="I14" s="112">
        <v>1.7</v>
      </c>
      <c r="J14" s="112">
        <v>0.9</v>
      </c>
      <c r="K14" s="112">
        <v>1</v>
      </c>
      <c r="L14" s="113">
        <f t="shared" si="0"/>
        <v>1.53</v>
      </c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spans="1:22" s="102" customFormat="1" ht="12.75">
      <c r="A15" s="114">
        <f>4*2.85</f>
        <v>11.4</v>
      </c>
      <c r="B15" s="216"/>
      <c r="C15" s="233"/>
      <c r="D15" s="219"/>
      <c r="E15" s="219"/>
      <c r="F15" s="222"/>
      <c r="G15" s="219"/>
      <c r="H15" s="111"/>
      <c r="I15" s="112"/>
      <c r="J15" s="112"/>
      <c r="K15" s="112"/>
      <c r="L15" s="113">
        <f t="shared" si="0"/>
        <v>0</v>
      </c>
      <c r="M15" s="222"/>
      <c r="N15" s="222"/>
      <c r="O15" s="222"/>
      <c r="P15" s="222"/>
      <c r="Q15" s="222"/>
      <c r="R15" s="222"/>
      <c r="S15" s="222"/>
      <c r="T15" s="222"/>
      <c r="U15" s="222"/>
      <c r="V15" s="222"/>
    </row>
    <row r="16" spans="1:22" s="102" customFormat="1" ht="12.75">
      <c r="A16" s="229" t="s">
        <v>177</v>
      </c>
      <c r="B16" s="214">
        <v>1</v>
      </c>
      <c r="C16" s="231"/>
      <c r="D16" s="217"/>
      <c r="E16" s="217"/>
      <c r="F16" s="220"/>
      <c r="G16" s="217"/>
      <c r="H16" s="111" t="s">
        <v>173</v>
      </c>
      <c r="I16" s="112">
        <v>0.8</v>
      </c>
      <c r="J16" s="112">
        <v>2.6</v>
      </c>
      <c r="K16" s="112">
        <v>1</v>
      </c>
      <c r="L16" s="113">
        <f>I16*J16*K16</f>
        <v>2.08</v>
      </c>
      <c r="M16" s="220">
        <v>0</v>
      </c>
      <c r="N16" s="220">
        <f>IF($C16&gt;1,(($F16*$G16)-($L16+$L17+$L18+$L19+$L20))*B16,0)</f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f>A20*B16</f>
        <v>17.1</v>
      </c>
      <c r="T16" s="220">
        <f>I19*J19*K19*B16*2+I20*J20*K20*B16*2+I16*J16*K16*3*B16</f>
        <v>13.98</v>
      </c>
      <c r="U16" s="220">
        <f>I17*J17*K17*B16*3+I18*J18*K18*B16*3</f>
        <v>9.600000000000001</v>
      </c>
      <c r="V16" s="220">
        <f>O16</f>
        <v>0</v>
      </c>
    </row>
    <row r="17" spans="1:22" s="102" customFormat="1" ht="12.75">
      <c r="A17" s="230"/>
      <c r="B17" s="215"/>
      <c r="C17" s="232"/>
      <c r="D17" s="218"/>
      <c r="E17" s="218"/>
      <c r="F17" s="221"/>
      <c r="G17" s="218"/>
      <c r="H17" s="111" t="s">
        <v>175</v>
      </c>
      <c r="I17" s="112">
        <v>0.8</v>
      </c>
      <c r="J17" s="112">
        <v>1.6</v>
      </c>
      <c r="K17" s="112">
        <v>1</v>
      </c>
      <c r="L17" s="113">
        <f>I17*J17*K17</f>
        <v>1.2800000000000002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1:22" s="102" customFormat="1" ht="12.75">
      <c r="A18" s="230"/>
      <c r="B18" s="215"/>
      <c r="C18" s="232"/>
      <c r="D18" s="218"/>
      <c r="E18" s="218"/>
      <c r="F18" s="221"/>
      <c r="G18" s="218"/>
      <c r="H18" s="111" t="s">
        <v>176</v>
      </c>
      <c r="I18" s="112">
        <v>0.6</v>
      </c>
      <c r="J18" s="112">
        <v>1.6</v>
      </c>
      <c r="K18" s="112">
        <v>2</v>
      </c>
      <c r="L18" s="113">
        <f>I18*J18*K18</f>
        <v>1.92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</row>
    <row r="19" spans="1:22" s="102" customFormat="1" ht="12.75">
      <c r="A19" s="230"/>
      <c r="B19" s="215"/>
      <c r="C19" s="232"/>
      <c r="D19" s="218"/>
      <c r="E19" s="218"/>
      <c r="F19" s="221"/>
      <c r="G19" s="218"/>
      <c r="H19" s="111" t="s">
        <v>139</v>
      </c>
      <c r="I19" s="112">
        <v>1.7</v>
      </c>
      <c r="J19" s="112">
        <v>0.9</v>
      </c>
      <c r="K19" s="112">
        <v>1</v>
      </c>
      <c r="L19" s="113">
        <f>I19*J19*K19</f>
        <v>1.53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/>
    </row>
    <row r="20" spans="1:22" s="102" customFormat="1" ht="12.75">
      <c r="A20" s="114">
        <f>6*2.85</f>
        <v>17.1</v>
      </c>
      <c r="B20" s="216"/>
      <c r="C20" s="233"/>
      <c r="D20" s="219"/>
      <c r="E20" s="219"/>
      <c r="F20" s="222"/>
      <c r="G20" s="219"/>
      <c r="H20" s="111" t="s">
        <v>130</v>
      </c>
      <c r="I20" s="112">
        <v>2.6</v>
      </c>
      <c r="J20" s="112">
        <v>0.9</v>
      </c>
      <c r="K20" s="112">
        <v>1</v>
      </c>
      <c r="L20" s="113">
        <f>I20*J20*K20</f>
        <v>2.3400000000000003</v>
      </c>
      <c r="M20" s="222"/>
      <c r="N20" s="222"/>
      <c r="O20" s="222"/>
      <c r="P20" s="222"/>
      <c r="Q20" s="222"/>
      <c r="R20" s="222"/>
      <c r="S20" s="222"/>
      <c r="T20" s="222"/>
      <c r="U20" s="222"/>
      <c r="V20" s="222"/>
    </row>
    <row r="21" spans="1:22" s="102" customFormat="1" ht="12.75">
      <c r="A21" s="212" t="s">
        <v>178</v>
      </c>
      <c r="B21" s="214">
        <v>1</v>
      </c>
      <c r="C21" s="214"/>
      <c r="D21" s="217"/>
      <c r="E21" s="217"/>
      <c r="F21" s="220"/>
      <c r="G21" s="223"/>
      <c r="H21" s="111" t="s">
        <v>173</v>
      </c>
      <c r="I21" s="112">
        <v>0.8</v>
      </c>
      <c r="J21" s="112">
        <v>2.6</v>
      </c>
      <c r="K21" s="112">
        <v>1</v>
      </c>
      <c r="L21" s="113">
        <f t="shared" si="0"/>
        <v>2.08</v>
      </c>
      <c r="M21" s="220">
        <v>0</v>
      </c>
      <c r="N21" s="220">
        <f>IF($C21&gt;1,(($F21*$G21)-($L21+$L22+$L23))*B21,0)</f>
        <v>0</v>
      </c>
      <c r="O21" s="220">
        <f>IF($C21=1,(($F21*$G21)-($L21+$L22+$L23))*B21,0)</f>
        <v>0</v>
      </c>
      <c r="P21" s="220">
        <v>0</v>
      </c>
      <c r="Q21" s="220">
        <v>0</v>
      </c>
      <c r="R21" s="226">
        <v>0</v>
      </c>
      <c r="S21" s="226">
        <f>A23*B21</f>
        <v>5.51</v>
      </c>
      <c r="T21" s="220">
        <f>I22*J22*K22*B21*2+I23*J23*K23*B21*2+I21*J21*K21*3*B21</f>
        <v>12.36</v>
      </c>
      <c r="U21" s="220">
        <f>O21</f>
        <v>0</v>
      </c>
      <c r="V21" s="220">
        <v>0</v>
      </c>
    </row>
    <row r="22" spans="1:22" s="102" customFormat="1" ht="12.75">
      <c r="A22" s="213"/>
      <c r="B22" s="215"/>
      <c r="C22" s="215"/>
      <c r="D22" s="218"/>
      <c r="E22" s="218"/>
      <c r="F22" s="221"/>
      <c r="G22" s="224"/>
      <c r="H22" s="111" t="s">
        <v>139</v>
      </c>
      <c r="I22" s="112">
        <v>1.7</v>
      </c>
      <c r="J22" s="112">
        <v>0.9</v>
      </c>
      <c r="K22" s="112">
        <v>1</v>
      </c>
      <c r="L22" s="113">
        <f t="shared" si="0"/>
        <v>1.53</v>
      </c>
      <c r="M22" s="221"/>
      <c r="N22" s="221"/>
      <c r="O22" s="221"/>
      <c r="P22" s="221"/>
      <c r="Q22" s="221"/>
      <c r="R22" s="227"/>
      <c r="S22" s="227"/>
      <c r="T22" s="221"/>
      <c r="U22" s="221"/>
      <c r="V22" s="221"/>
    </row>
    <row r="23" spans="1:22" s="102" customFormat="1" ht="12.75">
      <c r="A23" s="114">
        <f>2.9*1.9</f>
        <v>5.51</v>
      </c>
      <c r="B23" s="216"/>
      <c r="C23" s="216"/>
      <c r="D23" s="219"/>
      <c r="E23" s="219"/>
      <c r="F23" s="222"/>
      <c r="G23" s="225"/>
      <c r="H23" s="111" t="s">
        <v>179</v>
      </c>
      <c r="I23" s="112">
        <v>1.7</v>
      </c>
      <c r="J23" s="112">
        <v>0.9</v>
      </c>
      <c r="K23" s="112">
        <v>1</v>
      </c>
      <c r="L23" s="113">
        <f t="shared" si="0"/>
        <v>1.53</v>
      </c>
      <c r="M23" s="222"/>
      <c r="N23" s="222"/>
      <c r="O23" s="222"/>
      <c r="P23" s="222"/>
      <c r="Q23" s="222"/>
      <c r="R23" s="228"/>
      <c r="S23" s="228"/>
      <c r="T23" s="222"/>
      <c r="U23" s="222"/>
      <c r="V23" s="222"/>
    </row>
    <row r="24" spans="1:22" s="102" customFormat="1" ht="12.75">
      <c r="A24" s="212" t="s">
        <v>152</v>
      </c>
      <c r="B24" s="214">
        <v>1</v>
      </c>
      <c r="C24" s="214">
        <v>1</v>
      </c>
      <c r="D24" s="217">
        <v>2.9</v>
      </c>
      <c r="E24" s="217">
        <v>4</v>
      </c>
      <c r="F24" s="220">
        <f>2*(D24+E24)</f>
        <v>13.8</v>
      </c>
      <c r="G24" s="223">
        <v>2.6</v>
      </c>
      <c r="H24" s="111" t="s">
        <v>173</v>
      </c>
      <c r="I24" s="112">
        <v>0.8</v>
      </c>
      <c r="J24" s="112">
        <v>2.6</v>
      </c>
      <c r="K24" s="112">
        <v>1</v>
      </c>
      <c r="L24" s="113">
        <f t="shared" si="0"/>
        <v>2.08</v>
      </c>
      <c r="M24" s="220">
        <v>0</v>
      </c>
      <c r="N24" s="220">
        <f>IF($C24&gt;1,(($F24*$G24)-($L24+$L25+$L26))*B24,0)</f>
        <v>0</v>
      </c>
      <c r="O24" s="220">
        <f>IF($C24=1,(($F24*$G24)-($L24+$L25+$L26))*B24,0)</f>
        <v>31.28</v>
      </c>
      <c r="P24" s="220">
        <v>0</v>
      </c>
      <c r="Q24" s="220">
        <v>0</v>
      </c>
      <c r="R24" s="226">
        <v>0</v>
      </c>
      <c r="S24" s="226">
        <f>A26*B24</f>
        <v>11.6</v>
      </c>
      <c r="T24" s="220">
        <f>I25*J25*K25*B24*2+I24*J24*K24*3*B24</f>
        <v>11.280000000000001</v>
      </c>
      <c r="U24" s="220">
        <v>0</v>
      </c>
      <c r="V24" s="220">
        <v>0</v>
      </c>
    </row>
    <row r="25" spans="1:22" s="102" customFormat="1" ht="12.75">
      <c r="A25" s="213"/>
      <c r="B25" s="215"/>
      <c r="C25" s="215"/>
      <c r="D25" s="218"/>
      <c r="E25" s="218"/>
      <c r="F25" s="221"/>
      <c r="G25" s="224"/>
      <c r="H25" s="111" t="s">
        <v>180</v>
      </c>
      <c r="I25" s="112">
        <v>2.8</v>
      </c>
      <c r="J25" s="112">
        <v>0.9</v>
      </c>
      <c r="K25" s="112">
        <v>1</v>
      </c>
      <c r="L25" s="113">
        <f t="shared" si="0"/>
        <v>2.52</v>
      </c>
      <c r="M25" s="221"/>
      <c r="N25" s="221"/>
      <c r="O25" s="221"/>
      <c r="P25" s="221"/>
      <c r="Q25" s="221"/>
      <c r="R25" s="227"/>
      <c r="S25" s="227"/>
      <c r="T25" s="221"/>
      <c r="U25" s="221"/>
      <c r="V25" s="221"/>
    </row>
    <row r="26" spans="1:22" s="102" customFormat="1" ht="12.75">
      <c r="A26" s="114">
        <f>2.9*4</f>
        <v>11.6</v>
      </c>
      <c r="B26" s="216"/>
      <c r="C26" s="216"/>
      <c r="D26" s="219"/>
      <c r="E26" s="219"/>
      <c r="F26" s="222"/>
      <c r="G26" s="225"/>
      <c r="H26" s="111"/>
      <c r="I26" s="112"/>
      <c r="J26" s="112"/>
      <c r="K26" s="112"/>
      <c r="L26" s="113">
        <f t="shared" si="0"/>
        <v>0</v>
      </c>
      <c r="M26" s="222"/>
      <c r="N26" s="222"/>
      <c r="O26" s="222"/>
      <c r="P26" s="222"/>
      <c r="Q26" s="222"/>
      <c r="R26" s="228"/>
      <c r="S26" s="228"/>
      <c r="T26" s="222"/>
      <c r="U26" s="222"/>
      <c r="V26" s="222"/>
    </row>
    <row r="27" spans="1:22" s="102" customFormat="1" ht="12.75" customHeight="1">
      <c r="A27" s="212" t="s">
        <v>181</v>
      </c>
      <c r="B27" s="214">
        <v>1</v>
      </c>
      <c r="C27" s="214"/>
      <c r="D27" s="217"/>
      <c r="E27" s="217"/>
      <c r="F27" s="220"/>
      <c r="G27" s="223"/>
      <c r="H27" s="111" t="s">
        <v>136</v>
      </c>
      <c r="I27" s="112">
        <v>5</v>
      </c>
      <c r="J27" s="112">
        <v>2.6</v>
      </c>
      <c r="K27" s="112">
        <v>2</v>
      </c>
      <c r="L27" s="113">
        <f t="shared" si="0"/>
        <v>26</v>
      </c>
      <c r="M27" s="220">
        <v>0</v>
      </c>
      <c r="N27" s="220">
        <f>IF($C27&gt;1,(($F27*$G27)-($L27+$L28+$L29))*B27,0)</f>
        <v>0</v>
      </c>
      <c r="O27" s="220">
        <f>F27*1</f>
        <v>0</v>
      </c>
      <c r="P27" s="220">
        <v>0</v>
      </c>
      <c r="Q27" s="220">
        <f>IF($C27=1,(($F27*$G27)-($L27+$L28+$L29))*B27,0)</f>
        <v>0</v>
      </c>
      <c r="R27" s="226">
        <v>0</v>
      </c>
      <c r="S27" s="226">
        <f>A29*B27</f>
        <v>18.880000000000003</v>
      </c>
      <c r="T27" s="220">
        <f>I27*J27*K27*2</f>
        <v>52</v>
      </c>
      <c r="U27" s="220">
        <v>0</v>
      </c>
      <c r="V27" s="220">
        <v>0</v>
      </c>
    </row>
    <row r="28" spans="1:22" s="102" customFormat="1" ht="12.75">
      <c r="A28" s="213"/>
      <c r="B28" s="215"/>
      <c r="C28" s="215"/>
      <c r="D28" s="218"/>
      <c r="E28" s="218"/>
      <c r="F28" s="221"/>
      <c r="G28" s="224"/>
      <c r="H28" s="111"/>
      <c r="I28" s="112"/>
      <c r="J28" s="112"/>
      <c r="K28" s="112"/>
      <c r="L28" s="113">
        <f t="shared" si="0"/>
        <v>0</v>
      </c>
      <c r="M28" s="221"/>
      <c r="N28" s="221"/>
      <c r="O28" s="221"/>
      <c r="P28" s="221"/>
      <c r="Q28" s="221"/>
      <c r="R28" s="227"/>
      <c r="S28" s="227"/>
      <c r="T28" s="221"/>
      <c r="U28" s="221"/>
      <c r="V28" s="221"/>
    </row>
    <row r="29" spans="1:22" s="102" customFormat="1" ht="12.75">
      <c r="A29" s="114">
        <f>5.9*3.2</f>
        <v>18.880000000000003</v>
      </c>
      <c r="B29" s="216"/>
      <c r="C29" s="216"/>
      <c r="D29" s="219"/>
      <c r="E29" s="219"/>
      <c r="F29" s="222"/>
      <c r="G29" s="225"/>
      <c r="H29" s="111"/>
      <c r="I29" s="112"/>
      <c r="J29" s="112"/>
      <c r="K29" s="112"/>
      <c r="L29" s="113">
        <f t="shared" si="0"/>
        <v>0</v>
      </c>
      <c r="M29" s="222"/>
      <c r="N29" s="222"/>
      <c r="O29" s="222"/>
      <c r="P29" s="222"/>
      <c r="Q29" s="222"/>
      <c r="R29" s="228"/>
      <c r="S29" s="228"/>
      <c r="T29" s="222"/>
      <c r="U29" s="222"/>
      <c r="V29" s="222"/>
    </row>
    <row r="30" spans="1:22" s="102" customFormat="1" ht="12.75">
      <c r="A30" s="212" t="s">
        <v>134</v>
      </c>
      <c r="B30" s="214">
        <v>3</v>
      </c>
      <c r="C30" s="214">
        <v>1</v>
      </c>
      <c r="D30" s="217">
        <v>2</v>
      </c>
      <c r="E30" s="217">
        <v>1.9</v>
      </c>
      <c r="F30" s="220">
        <f>2*(D30+E30)</f>
        <v>7.8</v>
      </c>
      <c r="G30" s="223">
        <v>2.6</v>
      </c>
      <c r="H30" s="111" t="s">
        <v>182</v>
      </c>
      <c r="I30" s="112">
        <v>0.6</v>
      </c>
      <c r="J30" s="112">
        <v>2</v>
      </c>
      <c r="K30" s="112">
        <v>1</v>
      </c>
      <c r="L30" s="113">
        <f t="shared" si="0"/>
        <v>1.2</v>
      </c>
      <c r="M30" s="220">
        <v>0</v>
      </c>
      <c r="N30" s="220">
        <f>IF($C30&gt;1,(($F30*$G30)-($L30+$L31+$L32))*B30,0)</f>
        <v>0</v>
      </c>
      <c r="O30" s="220">
        <f>IF($C30=1,(($F30*$G30)-($L30+$L31+$L32))*B30,0)</f>
        <v>53.925000000000004</v>
      </c>
      <c r="P30" s="220">
        <v>0</v>
      </c>
      <c r="Q30" s="220">
        <v>0</v>
      </c>
      <c r="R30" s="226">
        <v>0</v>
      </c>
      <c r="S30" s="226">
        <f>A32*B30</f>
        <v>11.399999999999999</v>
      </c>
      <c r="T30" s="220">
        <f>I31*J31*K31*B30*2+I30*J30*K30*3*B30</f>
        <v>17.43</v>
      </c>
      <c r="U30" s="220">
        <v>0</v>
      </c>
      <c r="V30" s="220">
        <v>0</v>
      </c>
    </row>
    <row r="31" spans="1:22" s="102" customFormat="1" ht="12.75">
      <c r="A31" s="213"/>
      <c r="B31" s="215"/>
      <c r="C31" s="215"/>
      <c r="D31" s="218"/>
      <c r="E31" s="218"/>
      <c r="F31" s="221"/>
      <c r="G31" s="224"/>
      <c r="H31" s="111" t="s">
        <v>183</v>
      </c>
      <c r="I31" s="112">
        <v>1.3</v>
      </c>
      <c r="J31" s="112">
        <v>0.85</v>
      </c>
      <c r="K31" s="112">
        <v>1</v>
      </c>
      <c r="L31" s="113">
        <f t="shared" si="0"/>
        <v>1.105</v>
      </c>
      <c r="M31" s="221"/>
      <c r="N31" s="221"/>
      <c r="O31" s="221"/>
      <c r="P31" s="221"/>
      <c r="Q31" s="221"/>
      <c r="R31" s="227"/>
      <c r="S31" s="227"/>
      <c r="T31" s="221"/>
      <c r="U31" s="221"/>
      <c r="V31" s="221"/>
    </row>
    <row r="32" spans="1:22" s="102" customFormat="1" ht="12.75">
      <c r="A32" s="114">
        <f>2*1.9</f>
        <v>3.8</v>
      </c>
      <c r="B32" s="216"/>
      <c r="C32" s="216"/>
      <c r="D32" s="219"/>
      <c r="E32" s="219"/>
      <c r="F32" s="222"/>
      <c r="G32" s="225"/>
      <c r="H32" s="111"/>
      <c r="I32" s="112"/>
      <c r="J32" s="112"/>
      <c r="K32" s="112"/>
      <c r="L32" s="113">
        <f t="shared" si="0"/>
        <v>0</v>
      </c>
      <c r="M32" s="222"/>
      <c r="N32" s="222"/>
      <c r="O32" s="222"/>
      <c r="P32" s="222"/>
      <c r="Q32" s="222"/>
      <c r="R32" s="228"/>
      <c r="S32" s="228"/>
      <c r="T32" s="222"/>
      <c r="U32" s="222"/>
      <c r="V32" s="222"/>
    </row>
    <row r="33" spans="1:22" s="102" customFormat="1" ht="12.75">
      <c r="A33" s="212" t="s">
        <v>137</v>
      </c>
      <c r="B33" s="214">
        <v>2</v>
      </c>
      <c r="C33" s="214">
        <v>1</v>
      </c>
      <c r="D33" s="217"/>
      <c r="E33" s="217"/>
      <c r="F33" s="220">
        <v>6.15</v>
      </c>
      <c r="G33" s="223">
        <v>2.6</v>
      </c>
      <c r="H33" s="111"/>
      <c r="I33" s="112"/>
      <c r="J33" s="112"/>
      <c r="K33" s="112"/>
      <c r="L33" s="113">
        <f t="shared" si="0"/>
        <v>0</v>
      </c>
      <c r="M33" s="220">
        <v>0</v>
      </c>
      <c r="N33" s="220">
        <f>IF($C33&gt;1,(($F33*$G33)-($L33+$L34+$L35))*B33,0)</f>
        <v>0</v>
      </c>
      <c r="O33" s="220">
        <v>0</v>
      </c>
      <c r="P33" s="220">
        <v>0</v>
      </c>
      <c r="Q33" s="220">
        <v>0</v>
      </c>
      <c r="R33" s="226">
        <v>0</v>
      </c>
      <c r="S33" s="226">
        <f>A35*B33</f>
        <v>0</v>
      </c>
      <c r="T33" s="220">
        <f>I34*J34*K34*2+I35*J35*K35*2</f>
        <v>0</v>
      </c>
      <c r="U33" s="220">
        <f>I33*J33*K33*3</f>
        <v>0</v>
      </c>
      <c r="V33" s="220">
        <f>IF($C33=1,(($F33*$G33)-($L33+$L34+$L35))*$B33,0)</f>
        <v>31.980000000000004</v>
      </c>
    </row>
    <row r="34" spans="1:22" s="102" customFormat="1" ht="12.75">
      <c r="A34" s="213"/>
      <c r="B34" s="215"/>
      <c r="C34" s="215"/>
      <c r="D34" s="218"/>
      <c r="E34" s="218"/>
      <c r="F34" s="221"/>
      <c r="G34" s="224"/>
      <c r="H34" s="111"/>
      <c r="I34" s="112"/>
      <c r="J34" s="112"/>
      <c r="K34" s="112"/>
      <c r="L34" s="113">
        <f t="shared" si="0"/>
        <v>0</v>
      </c>
      <c r="M34" s="221"/>
      <c r="N34" s="221"/>
      <c r="O34" s="221"/>
      <c r="P34" s="221"/>
      <c r="Q34" s="221"/>
      <c r="R34" s="227"/>
      <c r="S34" s="227"/>
      <c r="T34" s="221"/>
      <c r="U34" s="221"/>
      <c r="V34" s="221"/>
    </row>
    <row r="35" spans="1:22" s="102" customFormat="1" ht="12.75">
      <c r="A35" s="114"/>
      <c r="B35" s="216"/>
      <c r="C35" s="216"/>
      <c r="D35" s="219"/>
      <c r="E35" s="219"/>
      <c r="F35" s="222"/>
      <c r="G35" s="225"/>
      <c r="H35" s="111"/>
      <c r="I35" s="112"/>
      <c r="J35" s="112"/>
      <c r="K35" s="112"/>
      <c r="L35" s="113">
        <f t="shared" si="0"/>
        <v>0</v>
      </c>
      <c r="M35" s="222"/>
      <c r="N35" s="222"/>
      <c r="O35" s="222"/>
      <c r="P35" s="222"/>
      <c r="Q35" s="222"/>
      <c r="R35" s="228"/>
      <c r="S35" s="228"/>
      <c r="T35" s="222"/>
      <c r="U35" s="222"/>
      <c r="V35" s="222"/>
    </row>
    <row r="36" spans="1:22" s="102" customFormat="1" ht="12.75">
      <c r="A36" s="217" t="s">
        <v>184</v>
      </c>
      <c r="B36" s="214">
        <v>1</v>
      </c>
      <c r="C36" s="231">
        <v>1</v>
      </c>
      <c r="D36" s="217"/>
      <c r="E36" s="217"/>
      <c r="F36" s="220">
        <f>2*((2+5.9+2.85+2.85)+6)</f>
        <v>39.2</v>
      </c>
      <c r="G36" s="217">
        <v>2.6</v>
      </c>
      <c r="H36" s="111" t="s">
        <v>173</v>
      </c>
      <c r="I36" s="112">
        <v>0.8</v>
      </c>
      <c r="J36" s="112">
        <v>2.6</v>
      </c>
      <c r="K36" s="112">
        <v>4</v>
      </c>
      <c r="L36" s="113">
        <f t="shared" si="0"/>
        <v>8.32</v>
      </c>
      <c r="M36" s="220">
        <v>0</v>
      </c>
      <c r="N36" s="220">
        <f>IF($C36&gt;1,(($F36*$G36)-($L36+$L37+$L38+$L40+$L41))*B36,0)</f>
        <v>0</v>
      </c>
      <c r="O36" s="220">
        <v>0</v>
      </c>
      <c r="P36" s="220">
        <v>0</v>
      </c>
      <c r="Q36" s="220">
        <v>0</v>
      </c>
      <c r="R36" s="220">
        <v>0</v>
      </c>
      <c r="S36" s="220">
        <f>A41*B36</f>
        <v>0</v>
      </c>
      <c r="T36" s="220">
        <v>0</v>
      </c>
      <c r="U36" s="220">
        <v>0</v>
      </c>
      <c r="V36" s="220">
        <f>IF($C36=1,(($F36*$G36)-($L36+$L37+$L38+$L39+$L40+$L41))*J36,0)</f>
        <v>129.70100000000005</v>
      </c>
    </row>
    <row r="37" spans="1:22" s="102" customFormat="1" ht="12.75">
      <c r="A37" s="218"/>
      <c r="B37" s="215"/>
      <c r="C37" s="232"/>
      <c r="D37" s="218"/>
      <c r="E37" s="218"/>
      <c r="F37" s="221"/>
      <c r="G37" s="218"/>
      <c r="H37" s="111" t="s">
        <v>182</v>
      </c>
      <c r="I37" s="112">
        <v>0.6</v>
      </c>
      <c r="J37" s="112">
        <v>2</v>
      </c>
      <c r="K37" s="112">
        <v>3</v>
      </c>
      <c r="L37" s="113">
        <f t="shared" si="0"/>
        <v>3.5999999999999996</v>
      </c>
      <c r="M37" s="221"/>
      <c r="N37" s="221"/>
      <c r="O37" s="221"/>
      <c r="P37" s="221"/>
      <c r="Q37" s="221"/>
      <c r="R37" s="221"/>
      <c r="S37" s="221"/>
      <c r="T37" s="221"/>
      <c r="U37" s="221"/>
      <c r="V37" s="221"/>
    </row>
    <row r="38" spans="1:22" s="102" customFormat="1" ht="12.75">
      <c r="A38" s="218"/>
      <c r="B38" s="215"/>
      <c r="C38" s="232"/>
      <c r="D38" s="218"/>
      <c r="E38" s="218"/>
      <c r="F38" s="221"/>
      <c r="G38" s="218"/>
      <c r="H38" s="111" t="s">
        <v>185</v>
      </c>
      <c r="I38" s="112">
        <v>2.6</v>
      </c>
      <c r="J38" s="112">
        <v>0.9</v>
      </c>
      <c r="K38" s="112">
        <v>2</v>
      </c>
      <c r="L38" s="113">
        <f t="shared" si="0"/>
        <v>4.680000000000001</v>
      </c>
      <c r="M38" s="221"/>
      <c r="N38" s="221"/>
      <c r="O38" s="221"/>
      <c r="P38" s="221"/>
      <c r="Q38" s="221"/>
      <c r="R38" s="221"/>
      <c r="S38" s="221"/>
      <c r="T38" s="221"/>
      <c r="U38" s="221"/>
      <c r="V38" s="221"/>
    </row>
    <row r="39" spans="1:22" s="102" customFormat="1" ht="12.75">
      <c r="A39" s="218"/>
      <c r="B39" s="215"/>
      <c r="C39" s="232"/>
      <c r="D39" s="218"/>
      <c r="E39" s="218"/>
      <c r="F39" s="221"/>
      <c r="G39" s="218"/>
      <c r="H39" s="111" t="s">
        <v>139</v>
      </c>
      <c r="I39" s="112">
        <v>1.7</v>
      </c>
      <c r="J39" s="112">
        <v>0.9</v>
      </c>
      <c r="K39" s="112">
        <v>4</v>
      </c>
      <c r="L39" s="113">
        <f>I39*J39*K39</f>
        <v>6.12</v>
      </c>
      <c r="M39" s="221"/>
      <c r="N39" s="221"/>
      <c r="O39" s="221"/>
      <c r="P39" s="221"/>
      <c r="Q39" s="221"/>
      <c r="R39" s="221"/>
      <c r="S39" s="221"/>
      <c r="T39" s="221"/>
      <c r="U39" s="221"/>
      <c r="V39" s="221"/>
    </row>
    <row r="40" spans="1:22" s="102" customFormat="1" ht="12.75">
      <c r="A40" s="218"/>
      <c r="B40" s="215"/>
      <c r="C40" s="232"/>
      <c r="D40" s="218"/>
      <c r="E40" s="218"/>
      <c r="F40" s="221"/>
      <c r="G40" s="218"/>
      <c r="H40" s="111" t="s">
        <v>183</v>
      </c>
      <c r="I40" s="112">
        <v>1.3</v>
      </c>
      <c r="J40" s="112">
        <v>0.85</v>
      </c>
      <c r="K40" s="112">
        <v>3</v>
      </c>
      <c r="L40" s="113">
        <f t="shared" si="0"/>
        <v>3.315</v>
      </c>
      <c r="M40" s="221"/>
      <c r="N40" s="221"/>
      <c r="O40" s="221"/>
      <c r="P40" s="221"/>
      <c r="Q40" s="221"/>
      <c r="R40" s="221"/>
      <c r="S40" s="221"/>
      <c r="T40" s="221"/>
      <c r="U40" s="221"/>
      <c r="V40" s="221"/>
    </row>
    <row r="41" spans="1:22" s="102" customFormat="1" ht="12.75">
      <c r="A41" s="114"/>
      <c r="B41" s="216"/>
      <c r="C41" s="233"/>
      <c r="D41" s="219"/>
      <c r="E41" s="219"/>
      <c r="F41" s="222"/>
      <c r="G41" s="219"/>
      <c r="H41" s="111" t="s">
        <v>136</v>
      </c>
      <c r="I41" s="112">
        <v>5</v>
      </c>
      <c r="J41" s="112">
        <v>2.6</v>
      </c>
      <c r="K41" s="112">
        <v>2</v>
      </c>
      <c r="L41" s="113">
        <f t="shared" si="0"/>
        <v>26</v>
      </c>
      <c r="M41" s="222"/>
      <c r="N41" s="222"/>
      <c r="O41" s="222"/>
      <c r="P41" s="222"/>
      <c r="Q41" s="222"/>
      <c r="R41" s="222"/>
      <c r="S41" s="222"/>
      <c r="T41" s="222"/>
      <c r="U41" s="222"/>
      <c r="V41" s="222"/>
    </row>
    <row r="42" spans="1:22" s="102" customFormat="1" ht="12.75">
      <c r="A42" s="212"/>
      <c r="B42" s="214"/>
      <c r="C42" s="214"/>
      <c r="D42" s="217"/>
      <c r="E42" s="217"/>
      <c r="F42" s="220"/>
      <c r="G42" s="223"/>
      <c r="H42" s="111"/>
      <c r="I42" s="112"/>
      <c r="J42" s="112"/>
      <c r="K42" s="112"/>
      <c r="L42" s="113">
        <f t="shared" si="0"/>
        <v>0</v>
      </c>
      <c r="M42" s="220">
        <v>0</v>
      </c>
      <c r="N42" s="220">
        <f>IF($C42&gt;1,(($F42*$G42)-($L42+$L43+$L44))*B42,0)</f>
        <v>0</v>
      </c>
      <c r="O42" s="220">
        <f>F42*G42</f>
        <v>0</v>
      </c>
      <c r="P42" s="220">
        <v>0</v>
      </c>
      <c r="Q42" s="220">
        <v>0</v>
      </c>
      <c r="R42" s="226">
        <v>0</v>
      </c>
      <c r="S42" s="226">
        <f>A44*B42</f>
        <v>0</v>
      </c>
      <c r="T42" s="220">
        <f>I43*J43*K43*2+I44*J44*K44*2</f>
        <v>0</v>
      </c>
      <c r="U42" s="220">
        <f>I42*J42*K42*3</f>
        <v>0</v>
      </c>
      <c r="V42" s="220">
        <v>0</v>
      </c>
    </row>
    <row r="43" spans="1:22" s="102" customFormat="1" ht="12.75">
      <c r="A43" s="213"/>
      <c r="B43" s="215"/>
      <c r="C43" s="215"/>
      <c r="D43" s="218"/>
      <c r="E43" s="218"/>
      <c r="F43" s="221"/>
      <c r="G43" s="224"/>
      <c r="H43" s="111"/>
      <c r="I43" s="112"/>
      <c r="J43" s="112"/>
      <c r="K43" s="112"/>
      <c r="L43" s="113">
        <f t="shared" si="0"/>
        <v>0</v>
      </c>
      <c r="M43" s="221"/>
      <c r="N43" s="221"/>
      <c r="O43" s="221"/>
      <c r="P43" s="221"/>
      <c r="Q43" s="221"/>
      <c r="R43" s="227"/>
      <c r="S43" s="227"/>
      <c r="T43" s="221"/>
      <c r="U43" s="221"/>
      <c r="V43" s="221"/>
    </row>
    <row r="44" spans="1:22" s="102" customFormat="1" ht="12.75">
      <c r="A44" s="114"/>
      <c r="B44" s="216"/>
      <c r="C44" s="216"/>
      <c r="D44" s="219"/>
      <c r="E44" s="219"/>
      <c r="F44" s="222"/>
      <c r="G44" s="225"/>
      <c r="H44" s="111"/>
      <c r="I44" s="112"/>
      <c r="J44" s="112"/>
      <c r="K44" s="112"/>
      <c r="L44" s="113">
        <f t="shared" si="0"/>
        <v>0</v>
      </c>
      <c r="M44" s="222"/>
      <c r="N44" s="222"/>
      <c r="O44" s="222"/>
      <c r="P44" s="222"/>
      <c r="Q44" s="222"/>
      <c r="R44" s="228"/>
      <c r="S44" s="228"/>
      <c r="T44" s="222"/>
      <c r="U44" s="222"/>
      <c r="V44" s="222"/>
    </row>
    <row r="45" spans="1:22" s="102" customFormat="1" ht="12.75">
      <c r="A45" s="245"/>
      <c r="B45" s="214"/>
      <c r="C45" s="214"/>
      <c r="D45" s="217"/>
      <c r="E45" s="217"/>
      <c r="F45" s="220"/>
      <c r="G45" s="223"/>
      <c r="H45" s="111"/>
      <c r="I45" s="112"/>
      <c r="J45" s="112"/>
      <c r="K45" s="112"/>
      <c r="L45" s="113">
        <f t="shared" si="0"/>
        <v>0</v>
      </c>
      <c r="M45" s="220">
        <v>0</v>
      </c>
      <c r="N45" s="220">
        <f>IF($C45&gt;1,(($F45*$G45)-($L45+$L46+$L47))*B45,0)</f>
        <v>0</v>
      </c>
      <c r="O45" s="220">
        <v>0</v>
      </c>
      <c r="P45" s="220">
        <v>0</v>
      </c>
      <c r="Q45" s="220">
        <f>IF($C45=1,(($F45*$G45)-($L45+$L46+$L47))*$B45,0)</f>
        <v>0</v>
      </c>
      <c r="R45" s="226">
        <f>F45*6.4*B45</f>
        <v>0</v>
      </c>
      <c r="S45" s="226">
        <f>A47*B45</f>
        <v>0</v>
      </c>
      <c r="T45" s="220">
        <f>I46*J46*K46*2+I47*J47*K47*2</f>
        <v>0</v>
      </c>
      <c r="U45" s="220">
        <f>I45*J45*K45*3</f>
        <v>0</v>
      </c>
      <c r="V45" s="220">
        <v>0</v>
      </c>
    </row>
    <row r="46" spans="1:22" s="102" customFormat="1" ht="12.75">
      <c r="A46" s="246"/>
      <c r="B46" s="215"/>
      <c r="C46" s="215"/>
      <c r="D46" s="218"/>
      <c r="E46" s="218"/>
      <c r="F46" s="221"/>
      <c r="G46" s="224"/>
      <c r="H46" s="111"/>
      <c r="I46" s="112"/>
      <c r="J46" s="112"/>
      <c r="K46" s="112"/>
      <c r="L46" s="113">
        <f t="shared" si="0"/>
        <v>0</v>
      </c>
      <c r="M46" s="221"/>
      <c r="N46" s="221"/>
      <c r="O46" s="221"/>
      <c r="P46" s="221"/>
      <c r="Q46" s="221"/>
      <c r="R46" s="227"/>
      <c r="S46" s="227"/>
      <c r="T46" s="221"/>
      <c r="U46" s="221"/>
      <c r="V46" s="221"/>
    </row>
    <row r="47" spans="1:22" s="102" customFormat="1" ht="12.75">
      <c r="A47" s="114"/>
      <c r="B47" s="216"/>
      <c r="C47" s="216"/>
      <c r="D47" s="219"/>
      <c r="E47" s="219"/>
      <c r="F47" s="222"/>
      <c r="G47" s="225"/>
      <c r="H47" s="111"/>
      <c r="I47" s="112"/>
      <c r="J47" s="112"/>
      <c r="K47" s="112"/>
      <c r="L47" s="113">
        <f t="shared" si="0"/>
        <v>0</v>
      </c>
      <c r="M47" s="222"/>
      <c r="N47" s="222"/>
      <c r="O47" s="222"/>
      <c r="P47" s="222"/>
      <c r="Q47" s="222"/>
      <c r="R47" s="228"/>
      <c r="S47" s="228"/>
      <c r="T47" s="222"/>
      <c r="U47" s="222"/>
      <c r="V47" s="222"/>
    </row>
    <row r="48" spans="1:22" s="102" customFormat="1" ht="12.75">
      <c r="A48" s="245"/>
      <c r="B48" s="214"/>
      <c r="C48" s="214"/>
      <c r="D48" s="217"/>
      <c r="E48" s="217"/>
      <c r="F48" s="220"/>
      <c r="G48" s="223"/>
      <c r="H48" s="111"/>
      <c r="I48" s="112"/>
      <c r="J48" s="112"/>
      <c r="K48" s="112"/>
      <c r="L48" s="113">
        <f t="shared" si="0"/>
        <v>0</v>
      </c>
      <c r="M48" s="220">
        <v>0</v>
      </c>
      <c r="N48" s="220">
        <f>IF($C48&gt;1,(($F48*$G48)-($L48+$L49+$L50))*B48,0)</f>
        <v>0</v>
      </c>
      <c r="O48" s="220">
        <v>0</v>
      </c>
      <c r="P48" s="220">
        <v>0</v>
      </c>
      <c r="Q48" s="220">
        <f>IF($C48=1,(($F48*$G48)-($L48+$L49+$L50))*$B48,0)</f>
        <v>0</v>
      </c>
      <c r="R48" s="226">
        <v>0</v>
      </c>
      <c r="S48" s="226">
        <f>A50*B48</f>
        <v>0</v>
      </c>
      <c r="T48" s="220">
        <f>I49*J49*K49*2*B48</f>
        <v>0</v>
      </c>
      <c r="U48" s="220">
        <f>I48*J48*K48*3</f>
        <v>0</v>
      </c>
      <c r="V48" s="220">
        <v>0</v>
      </c>
    </row>
    <row r="49" spans="1:22" s="102" customFormat="1" ht="12.75">
      <c r="A49" s="246"/>
      <c r="B49" s="215"/>
      <c r="C49" s="215"/>
      <c r="D49" s="218"/>
      <c r="E49" s="218"/>
      <c r="F49" s="221"/>
      <c r="G49" s="224"/>
      <c r="H49" s="111"/>
      <c r="I49" s="112"/>
      <c r="J49" s="112"/>
      <c r="K49" s="112"/>
      <c r="L49" s="113">
        <f t="shared" si="0"/>
        <v>0</v>
      </c>
      <c r="M49" s="221"/>
      <c r="N49" s="221"/>
      <c r="O49" s="221"/>
      <c r="P49" s="221"/>
      <c r="Q49" s="221"/>
      <c r="R49" s="227"/>
      <c r="S49" s="227"/>
      <c r="T49" s="221"/>
      <c r="U49" s="221"/>
      <c r="V49" s="221"/>
    </row>
    <row r="50" spans="1:22" s="102" customFormat="1" ht="12.75">
      <c r="A50" s="114"/>
      <c r="B50" s="216"/>
      <c r="C50" s="216"/>
      <c r="D50" s="219"/>
      <c r="E50" s="219"/>
      <c r="F50" s="222"/>
      <c r="G50" s="225"/>
      <c r="H50" s="111"/>
      <c r="I50" s="112"/>
      <c r="J50" s="112"/>
      <c r="K50" s="112"/>
      <c r="L50" s="113">
        <f t="shared" si="0"/>
        <v>0</v>
      </c>
      <c r="M50" s="222"/>
      <c r="N50" s="222"/>
      <c r="O50" s="222"/>
      <c r="P50" s="222"/>
      <c r="Q50" s="222"/>
      <c r="R50" s="228"/>
      <c r="S50" s="228"/>
      <c r="T50" s="222"/>
      <c r="U50" s="222"/>
      <c r="V50" s="222"/>
    </row>
    <row r="51" spans="1:22" s="102" customFormat="1" ht="12.75">
      <c r="A51" s="245"/>
      <c r="B51" s="214"/>
      <c r="C51" s="214"/>
      <c r="D51" s="217"/>
      <c r="E51" s="217"/>
      <c r="F51" s="220"/>
      <c r="G51" s="223"/>
      <c r="H51" s="111"/>
      <c r="I51" s="112"/>
      <c r="J51" s="112"/>
      <c r="K51" s="112"/>
      <c r="L51" s="113">
        <f aca="true" t="shared" si="1" ref="L51:L56">I51*J51*K51</f>
        <v>0</v>
      </c>
      <c r="M51" s="220">
        <v>0</v>
      </c>
      <c r="N51" s="220">
        <f>IF($C51&gt;1,(($F51*$G51)-($L51+$L52+$L53))*B51,0)</f>
        <v>0</v>
      </c>
      <c r="O51" s="220">
        <v>0</v>
      </c>
      <c r="P51" s="220">
        <v>0</v>
      </c>
      <c r="Q51" s="220">
        <f>IF($C51=1,(($F51*$G51)-($L51+$L52+$L53))*$B51,0)</f>
        <v>0</v>
      </c>
      <c r="R51" s="226">
        <v>0</v>
      </c>
      <c r="S51" s="226">
        <f>A53*B51</f>
        <v>0</v>
      </c>
      <c r="T51" s="220">
        <f>I52*J52*K52*2*B51</f>
        <v>0</v>
      </c>
      <c r="U51" s="220">
        <f>I51*J51*K51*3</f>
        <v>0</v>
      </c>
      <c r="V51" s="220">
        <v>0</v>
      </c>
    </row>
    <row r="52" spans="1:22" s="102" customFormat="1" ht="12.75">
      <c r="A52" s="246"/>
      <c r="B52" s="215"/>
      <c r="C52" s="215"/>
      <c r="D52" s="218"/>
      <c r="E52" s="218"/>
      <c r="F52" s="221"/>
      <c r="G52" s="224"/>
      <c r="H52" s="111"/>
      <c r="I52" s="112"/>
      <c r="J52" s="112"/>
      <c r="K52" s="112"/>
      <c r="L52" s="113">
        <f t="shared" si="1"/>
        <v>0</v>
      </c>
      <c r="M52" s="221"/>
      <c r="N52" s="221"/>
      <c r="O52" s="221"/>
      <c r="P52" s="221"/>
      <c r="Q52" s="221"/>
      <c r="R52" s="227"/>
      <c r="S52" s="227"/>
      <c r="T52" s="221"/>
      <c r="U52" s="221"/>
      <c r="V52" s="221"/>
    </row>
    <row r="53" spans="1:22" s="102" customFormat="1" ht="12.75">
      <c r="A53" s="114"/>
      <c r="B53" s="216"/>
      <c r="C53" s="216"/>
      <c r="D53" s="219"/>
      <c r="E53" s="219"/>
      <c r="F53" s="222"/>
      <c r="G53" s="225"/>
      <c r="H53" s="111"/>
      <c r="I53" s="112"/>
      <c r="J53" s="112"/>
      <c r="K53" s="112"/>
      <c r="L53" s="113">
        <f t="shared" si="1"/>
        <v>0</v>
      </c>
      <c r="M53" s="222"/>
      <c r="N53" s="222"/>
      <c r="O53" s="222"/>
      <c r="P53" s="222"/>
      <c r="Q53" s="222"/>
      <c r="R53" s="228"/>
      <c r="S53" s="228"/>
      <c r="T53" s="222"/>
      <c r="U53" s="222"/>
      <c r="V53" s="222"/>
    </row>
    <row r="54" spans="1:22" s="102" customFormat="1" ht="12.75">
      <c r="A54" s="212"/>
      <c r="B54" s="214"/>
      <c r="C54" s="214"/>
      <c r="D54" s="217"/>
      <c r="E54" s="217"/>
      <c r="F54" s="220"/>
      <c r="G54" s="223"/>
      <c r="H54" s="111"/>
      <c r="I54" s="112"/>
      <c r="J54" s="112"/>
      <c r="K54" s="112"/>
      <c r="L54" s="113">
        <f t="shared" si="1"/>
        <v>0</v>
      </c>
      <c r="M54" s="220">
        <v>0</v>
      </c>
      <c r="N54" s="220">
        <f>IF($C54&gt;1,(($F54*$G54)-($L54+$L55+$L56))*B54,0)</f>
        <v>0</v>
      </c>
      <c r="O54" s="220">
        <f>F54*1.4</f>
        <v>0</v>
      </c>
      <c r="P54" s="220">
        <v>0</v>
      </c>
      <c r="Q54" s="220">
        <f>IF($C54=1,(($F54*$G54)-($L54+$L55+$L56))*$B54,0)</f>
        <v>0</v>
      </c>
      <c r="R54" s="226">
        <v>0</v>
      </c>
      <c r="S54" s="226">
        <f>A56*B54</f>
        <v>0</v>
      </c>
      <c r="T54" s="220">
        <f>I55*J55*K55*2+I56*J56*K56*2</f>
        <v>0</v>
      </c>
      <c r="U54" s="220">
        <f>I54*J54*K54*3</f>
        <v>0</v>
      </c>
      <c r="V54" s="220">
        <v>0</v>
      </c>
    </row>
    <row r="55" spans="1:22" s="102" customFormat="1" ht="12.75">
      <c r="A55" s="213"/>
      <c r="B55" s="215"/>
      <c r="C55" s="215"/>
      <c r="D55" s="218"/>
      <c r="E55" s="218"/>
      <c r="F55" s="221"/>
      <c r="G55" s="224"/>
      <c r="H55" s="111"/>
      <c r="I55" s="112"/>
      <c r="J55" s="112"/>
      <c r="K55" s="112"/>
      <c r="L55" s="113">
        <f t="shared" si="1"/>
        <v>0</v>
      </c>
      <c r="M55" s="221"/>
      <c r="N55" s="221"/>
      <c r="O55" s="221"/>
      <c r="P55" s="221"/>
      <c r="Q55" s="221"/>
      <c r="R55" s="227"/>
      <c r="S55" s="227"/>
      <c r="T55" s="221"/>
      <c r="U55" s="221"/>
      <c r="V55" s="221"/>
    </row>
    <row r="56" spans="1:22" s="102" customFormat="1" ht="12.75">
      <c r="A56" s="114"/>
      <c r="B56" s="216"/>
      <c r="C56" s="216"/>
      <c r="D56" s="219"/>
      <c r="E56" s="219"/>
      <c r="F56" s="222"/>
      <c r="G56" s="225"/>
      <c r="H56" s="111"/>
      <c r="I56" s="112"/>
      <c r="J56" s="112"/>
      <c r="K56" s="112"/>
      <c r="L56" s="113">
        <f t="shared" si="1"/>
        <v>0</v>
      </c>
      <c r="M56" s="222"/>
      <c r="N56" s="222"/>
      <c r="O56" s="222"/>
      <c r="P56" s="222"/>
      <c r="Q56" s="222"/>
      <c r="R56" s="228"/>
      <c r="S56" s="228"/>
      <c r="T56" s="222"/>
      <c r="U56" s="222"/>
      <c r="V56" s="222"/>
    </row>
    <row r="57" spans="1:22" s="102" customFormat="1" ht="12.75">
      <c r="A57" s="212"/>
      <c r="B57" s="214"/>
      <c r="C57" s="214"/>
      <c r="D57" s="217"/>
      <c r="E57" s="217"/>
      <c r="F57" s="220"/>
      <c r="G57" s="223"/>
      <c r="H57" s="111"/>
      <c r="I57" s="112"/>
      <c r="J57" s="112"/>
      <c r="K57" s="112"/>
      <c r="L57" s="113">
        <f aca="true" t="shared" si="2" ref="L57:L63">I57*J57*K57</f>
        <v>0</v>
      </c>
      <c r="M57" s="220">
        <v>0</v>
      </c>
      <c r="N57" s="220">
        <f>IF($C57&gt;1,(($F57*$G57)-($L57+$L58+$L59))*B57,0)</f>
        <v>0</v>
      </c>
      <c r="O57" s="220">
        <v>0</v>
      </c>
      <c r="P57" s="220">
        <v>0</v>
      </c>
      <c r="Q57" s="220">
        <f>IF($C57=1,(($F57*$G57)-($L57+$L58+$L59))*$B57,0)</f>
        <v>0</v>
      </c>
      <c r="R57" s="226">
        <v>0</v>
      </c>
      <c r="S57" s="226">
        <f>A59*B57</f>
        <v>0</v>
      </c>
      <c r="T57" s="220">
        <f>I58*J58*K58*2+I59*J59*K59*2</f>
        <v>0</v>
      </c>
      <c r="U57" s="220">
        <f>I57*J57*K57*3*B57</f>
        <v>0</v>
      </c>
      <c r="V57" s="220">
        <v>0</v>
      </c>
    </row>
    <row r="58" spans="1:22" s="102" customFormat="1" ht="12.75">
      <c r="A58" s="213"/>
      <c r="B58" s="215"/>
      <c r="C58" s="215"/>
      <c r="D58" s="218"/>
      <c r="E58" s="218"/>
      <c r="F58" s="221"/>
      <c r="G58" s="224"/>
      <c r="H58" s="111"/>
      <c r="I58" s="112"/>
      <c r="J58" s="112"/>
      <c r="K58" s="112"/>
      <c r="L58" s="113">
        <f t="shared" si="2"/>
        <v>0</v>
      </c>
      <c r="M58" s="221"/>
      <c r="N58" s="221"/>
      <c r="O58" s="221"/>
      <c r="P58" s="221"/>
      <c r="Q58" s="221"/>
      <c r="R58" s="227"/>
      <c r="S58" s="227"/>
      <c r="T58" s="221"/>
      <c r="U58" s="221"/>
      <c r="V58" s="221"/>
    </row>
    <row r="59" spans="1:22" s="102" customFormat="1" ht="12.75">
      <c r="A59" s="114"/>
      <c r="B59" s="216"/>
      <c r="C59" s="216"/>
      <c r="D59" s="219"/>
      <c r="E59" s="219"/>
      <c r="F59" s="222"/>
      <c r="G59" s="225"/>
      <c r="H59" s="111"/>
      <c r="I59" s="112"/>
      <c r="J59" s="112"/>
      <c r="K59" s="112"/>
      <c r="L59" s="113">
        <f t="shared" si="2"/>
        <v>0</v>
      </c>
      <c r="M59" s="222"/>
      <c r="N59" s="222"/>
      <c r="O59" s="222"/>
      <c r="P59" s="222"/>
      <c r="Q59" s="222"/>
      <c r="R59" s="228"/>
      <c r="S59" s="228"/>
      <c r="T59" s="222"/>
      <c r="U59" s="222"/>
      <c r="V59" s="222"/>
    </row>
    <row r="60" spans="1:22" s="102" customFormat="1" ht="12.75">
      <c r="A60" s="212"/>
      <c r="B60" s="214"/>
      <c r="C60" s="214"/>
      <c r="D60" s="217"/>
      <c r="E60" s="217"/>
      <c r="F60" s="220"/>
      <c r="G60" s="223"/>
      <c r="H60" s="111"/>
      <c r="I60" s="112"/>
      <c r="J60" s="112"/>
      <c r="K60" s="112"/>
      <c r="L60" s="113">
        <f t="shared" si="2"/>
        <v>0</v>
      </c>
      <c r="M60" s="220">
        <v>0</v>
      </c>
      <c r="N60" s="220">
        <f>IF($C60&gt;1,(($F60*$G60)-($L60+$L61+$L62))*B60,0)</f>
        <v>0</v>
      </c>
      <c r="O60" s="220">
        <v>0</v>
      </c>
      <c r="P60" s="220">
        <v>0</v>
      </c>
      <c r="Q60" s="220">
        <v>0</v>
      </c>
      <c r="R60" s="226">
        <v>0</v>
      </c>
      <c r="S60" s="226">
        <f>A62*B60</f>
        <v>0</v>
      </c>
      <c r="T60" s="220">
        <f>I61*J61*K61*B60*2</f>
        <v>0</v>
      </c>
      <c r="U60" s="220">
        <f>I60*J60*K60*3*B60</f>
        <v>0</v>
      </c>
      <c r="V60" s="220">
        <v>0</v>
      </c>
    </row>
    <row r="61" spans="1:22" s="102" customFormat="1" ht="12.75">
      <c r="A61" s="213"/>
      <c r="B61" s="215"/>
      <c r="C61" s="215"/>
      <c r="D61" s="218"/>
      <c r="E61" s="218"/>
      <c r="F61" s="221"/>
      <c r="G61" s="224"/>
      <c r="H61" s="111"/>
      <c r="I61" s="112"/>
      <c r="J61" s="112"/>
      <c r="K61" s="112"/>
      <c r="L61" s="113">
        <f t="shared" si="2"/>
        <v>0</v>
      </c>
      <c r="M61" s="221"/>
      <c r="N61" s="221"/>
      <c r="O61" s="221"/>
      <c r="P61" s="221"/>
      <c r="Q61" s="221"/>
      <c r="R61" s="227"/>
      <c r="S61" s="227"/>
      <c r="T61" s="221"/>
      <c r="U61" s="221"/>
      <c r="V61" s="221"/>
    </row>
    <row r="62" spans="1:22" s="102" customFormat="1" ht="12.75">
      <c r="A62" s="114"/>
      <c r="B62" s="216"/>
      <c r="C62" s="216"/>
      <c r="D62" s="219"/>
      <c r="E62" s="219"/>
      <c r="F62" s="222"/>
      <c r="G62" s="225"/>
      <c r="H62" s="111"/>
      <c r="I62" s="112"/>
      <c r="J62" s="112"/>
      <c r="K62" s="112"/>
      <c r="L62" s="113">
        <f t="shared" si="2"/>
        <v>0</v>
      </c>
      <c r="M62" s="222"/>
      <c r="N62" s="222"/>
      <c r="O62" s="222"/>
      <c r="P62" s="222"/>
      <c r="Q62" s="222"/>
      <c r="R62" s="228"/>
      <c r="S62" s="228"/>
      <c r="T62" s="222"/>
      <c r="U62" s="222"/>
      <c r="V62" s="222"/>
    </row>
    <row r="63" spans="1:22" s="102" customFormat="1" ht="12.75">
      <c r="A63" s="212"/>
      <c r="B63" s="214"/>
      <c r="C63" s="214"/>
      <c r="D63" s="217"/>
      <c r="E63" s="217"/>
      <c r="F63" s="220"/>
      <c r="G63" s="223"/>
      <c r="H63" s="111"/>
      <c r="I63" s="112"/>
      <c r="J63" s="112"/>
      <c r="K63" s="112"/>
      <c r="L63" s="113">
        <f t="shared" si="2"/>
        <v>0</v>
      </c>
      <c r="M63" s="220">
        <v>0</v>
      </c>
      <c r="N63" s="220">
        <f>IF($C63&gt;1,(($F63*$G63)-($L63+$L64+$L65))*B63,0)</f>
        <v>0</v>
      </c>
      <c r="O63" s="220">
        <f>F63*1</f>
        <v>0</v>
      </c>
      <c r="P63" s="220">
        <v>0</v>
      </c>
      <c r="Q63" s="220">
        <f>IF($C63=1,(($F63*$G63)-($L63+$L64+$L65))*$B63,0)</f>
        <v>0</v>
      </c>
      <c r="R63" s="226">
        <v>0</v>
      </c>
      <c r="S63" s="226">
        <f>A65*B63</f>
        <v>0</v>
      </c>
      <c r="T63" s="220">
        <f>I64*J64*K64*B63*2</f>
        <v>0</v>
      </c>
      <c r="U63" s="220">
        <f>I63*J63*K63*3*B63</f>
        <v>0</v>
      </c>
      <c r="V63" s="220">
        <v>0</v>
      </c>
    </row>
    <row r="64" spans="1:22" s="102" customFormat="1" ht="12.75">
      <c r="A64" s="213"/>
      <c r="B64" s="215"/>
      <c r="C64" s="215"/>
      <c r="D64" s="218"/>
      <c r="E64" s="218"/>
      <c r="F64" s="221"/>
      <c r="G64" s="224"/>
      <c r="H64" s="111"/>
      <c r="I64" s="112"/>
      <c r="J64" s="112"/>
      <c r="K64" s="112"/>
      <c r="L64" s="113">
        <f aca="true" t="shared" si="3" ref="L64:L73">I64*J64*K64</f>
        <v>0</v>
      </c>
      <c r="M64" s="221"/>
      <c r="N64" s="221"/>
      <c r="O64" s="221"/>
      <c r="P64" s="221"/>
      <c r="Q64" s="221"/>
      <c r="R64" s="227"/>
      <c r="S64" s="227"/>
      <c r="T64" s="221"/>
      <c r="U64" s="221"/>
      <c r="V64" s="221"/>
    </row>
    <row r="65" spans="1:22" s="102" customFormat="1" ht="12.75">
      <c r="A65" s="114"/>
      <c r="B65" s="216"/>
      <c r="C65" s="216"/>
      <c r="D65" s="219"/>
      <c r="E65" s="219"/>
      <c r="F65" s="222"/>
      <c r="G65" s="225"/>
      <c r="H65" s="111"/>
      <c r="I65" s="112"/>
      <c r="J65" s="112"/>
      <c r="K65" s="112"/>
      <c r="L65" s="113">
        <f t="shared" si="3"/>
        <v>0</v>
      </c>
      <c r="M65" s="222"/>
      <c r="N65" s="222"/>
      <c r="O65" s="222"/>
      <c r="P65" s="222"/>
      <c r="Q65" s="222"/>
      <c r="R65" s="228"/>
      <c r="S65" s="228"/>
      <c r="T65" s="222"/>
      <c r="U65" s="222"/>
      <c r="V65" s="222"/>
    </row>
    <row r="66" spans="1:22" s="102" customFormat="1" ht="12.75">
      <c r="A66" s="217"/>
      <c r="B66" s="214"/>
      <c r="C66" s="231"/>
      <c r="D66" s="217"/>
      <c r="E66" s="217"/>
      <c r="F66" s="220"/>
      <c r="G66" s="217"/>
      <c r="H66" s="111"/>
      <c r="I66" s="112"/>
      <c r="J66" s="112"/>
      <c r="K66" s="112"/>
      <c r="L66" s="113">
        <f t="shared" si="3"/>
        <v>0</v>
      </c>
      <c r="M66" s="220">
        <v>0</v>
      </c>
      <c r="N66" s="220">
        <f>IF($C66&gt;1,(($F66*$G66)-($L66+$L67+$L68+$L69+$L70))*B66,0)</f>
        <v>0</v>
      </c>
      <c r="O66" s="220">
        <v>0</v>
      </c>
      <c r="P66" s="220">
        <v>0</v>
      </c>
      <c r="Q66" s="220">
        <v>0</v>
      </c>
      <c r="R66" s="220">
        <v>0</v>
      </c>
      <c r="S66" s="220">
        <f>A70*B66</f>
        <v>0</v>
      </c>
      <c r="T66" s="220">
        <f>I66*J66*K66*B66*2+I68*J68*K68*B66*2+I69*J69*K69*B66*2+I70*J70*K70*2</f>
        <v>0</v>
      </c>
      <c r="U66" s="220">
        <f>I67*J67*K67*3*B66</f>
        <v>0</v>
      </c>
      <c r="V66" s="220">
        <f>O66</f>
        <v>0</v>
      </c>
    </row>
    <row r="67" spans="1:22" s="102" customFormat="1" ht="12.75">
      <c r="A67" s="218"/>
      <c r="B67" s="215"/>
      <c r="C67" s="232"/>
      <c r="D67" s="218"/>
      <c r="E67" s="218"/>
      <c r="F67" s="221"/>
      <c r="G67" s="218"/>
      <c r="H67" s="111"/>
      <c r="I67" s="112"/>
      <c r="J67" s="112"/>
      <c r="K67" s="112"/>
      <c r="L67" s="113">
        <f t="shared" si="3"/>
        <v>0</v>
      </c>
      <c r="M67" s="221"/>
      <c r="N67" s="221"/>
      <c r="O67" s="221"/>
      <c r="P67" s="221"/>
      <c r="Q67" s="221"/>
      <c r="R67" s="221"/>
      <c r="S67" s="221"/>
      <c r="T67" s="221"/>
      <c r="U67" s="221"/>
      <c r="V67" s="221"/>
    </row>
    <row r="68" spans="1:22" s="102" customFormat="1" ht="12.75">
      <c r="A68" s="218"/>
      <c r="B68" s="215"/>
      <c r="C68" s="232"/>
      <c r="D68" s="218"/>
      <c r="E68" s="218"/>
      <c r="F68" s="221"/>
      <c r="G68" s="218"/>
      <c r="H68" s="111"/>
      <c r="I68" s="112"/>
      <c r="J68" s="112"/>
      <c r="K68" s="112"/>
      <c r="L68" s="113">
        <f t="shared" si="3"/>
        <v>0</v>
      </c>
      <c r="M68" s="221"/>
      <c r="N68" s="221"/>
      <c r="O68" s="221"/>
      <c r="P68" s="221"/>
      <c r="Q68" s="221"/>
      <c r="R68" s="221"/>
      <c r="S68" s="221"/>
      <c r="T68" s="221"/>
      <c r="U68" s="221"/>
      <c r="V68" s="221"/>
    </row>
    <row r="69" spans="1:22" s="102" customFormat="1" ht="12.75">
      <c r="A69" s="218"/>
      <c r="B69" s="215"/>
      <c r="C69" s="232"/>
      <c r="D69" s="218"/>
      <c r="E69" s="218"/>
      <c r="F69" s="221"/>
      <c r="G69" s="218"/>
      <c r="H69" s="111"/>
      <c r="I69" s="112"/>
      <c r="J69" s="112"/>
      <c r="K69" s="112"/>
      <c r="L69" s="113">
        <f t="shared" si="3"/>
        <v>0</v>
      </c>
      <c r="M69" s="221"/>
      <c r="N69" s="221"/>
      <c r="O69" s="221"/>
      <c r="P69" s="221"/>
      <c r="Q69" s="221"/>
      <c r="R69" s="221"/>
      <c r="S69" s="221"/>
      <c r="T69" s="221"/>
      <c r="U69" s="221"/>
      <c r="V69" s="221"/>
    </row>
    <row r="70" spans="1:22" s="102" customFormat="1" ht="12.75">
      <c r="A70" s="114"/>
      <c r="B70" s="216"/>
      <c r="C70" s="233"/>
      <c r="D70" s="219"/>
      <c r="E70" s="219"/>
      <c r="F70" s="222"/>
      <c r="G70" s="219"/>
      <c r="H70" s="111"/>
      <c r="I70" s="112"/>
      <c r="J70" s="112"/>
      <c r="K70" s="112"/>
      <c r="L70" s="113">
        <f t="shared" si="3"/>
        <v>0</v>
      </c>
      <c r="M70" s="222"/>
      <c r="N70" s="222"/>
      <c r="O70" s="222"/>
      <c r="P70" s="222"/>
      <c r="Q70" s="222"/>
      <c r="R70" s="222"/>
      <c r="S70" s="222"/>
      <c r="T70" s="222"/>
      <c r="U70" s="222"/>
      <c r="V70" s="222"/>
    </row>
    <row r="71" spans="1:22" s="102" customFormat="1" ht="12.75">
      <c r="A71" s="229"/>
      <c r="B71" s="214"/>
      <c r="C71" s="231"/>
      <c r="D71" s="217"/>
      <c r="E71" s="217"/>
      <c r="F71" s="220"/>
      <c r="G71" s="217"/>
      <c r="H71" s="111"/>
      <c r="I71" s="112"/>
      <c r="J71" s="112"/>
      <c r="K71" s="112"/>
      <c r="L71" s="113">
        <f t="shared" si="3"/>
        <v>0</v>
      </c>
      <c r="M71" s="220">
        <v>0</v>
      </c>
      <c r="N71" s="220">
        <f>IF($C71&gt;1,(($F71*$G71)-($L71+$L72+$L73))*B71,0)</f>
        <v>0</v>
      </c>
      <c r="O71" s="220">
        <v>0</v>
      </c>
      <c r="P71" s="220">
        <v>0</v>
      </c>
      <c r="Q71" s="220">
        <v>0</v>
      </c>
      <c r="R71" s="226">
        <v>0</v>
      </c>
      <c r="S71" s="226">
        <f>A73</f>
        <v>0</v>
      </c>
      <c r="T71" s="220">
        <v>0</v>
      </c>
      <c r="U71" s="220">
        <v>0</v>
      </c>
      <c r="V71" s="220">
        <f>IF($C71=1,(($F71*$G71)-($L71+$L72+$L73))*$B71,0)</f>
        <v>0</v>
      </c>
    </row>
    <row r="72" spans="1:22" s="102" customFormat="1" ht="12.75">
      <c r="A72" s="230"/>
      <c r="B72" s="215"/>
      <c r="C72" s="232"/>
      <c r="D72" s="218"/>
      <c r="E72" s="218"/>
      <c r="F72" s="221"/>
      <c r="G72" s="218"/>
      <c r="H72" s="111"/>
      <c r="I72" s="112"/>
      <c r="J72" s="112"/>
      <c r="K72" s="112"/>
      <c r="L72" s="113">
        <f t="shared" si="3"/>
        <v>0</v>
      </c>
      <c r="M72" s="221"/>
      <c r="N72" s="221"/>
      <c r="O72" s="221"/>
      <c r="P72" s="221"/>
      <c r="Q72" s="221"/>
      <c r="R72" s="227"/>
      <c r="S72" s="227"/>
      <c r="T72" s="221"/>
      <c r="U72" s="221"/>
      <c r="V72" s="221"/>
    </row>
    <row r="73" spans="1:22" s="102" customFormat="1" ht="12.75">
      <c r="A73" s="114"/>
      <c r="B73" s="216"/>
      <c r="C73" s="233"/>
      <c r="D73" s="219"/>
      <c r="E73" s="219"/>
      <c r="F73" s="222"/>
      <c r="G73" s="219"/>
      <c r="H73" s="111"/>
      <c r="I73" s="112"/>
      <c r="J73" s="112"/>
      <c r="K73" s="112"/>
      <c r="L73" s="113">
        <f t="shared" si="3"/>
        <v>0</v>
      </c>
      <c r="M73" s="222"/>
      <c r="N73" s="222"/>
      <c r="O73" s="222"/>
      <c r="P73" s="222"/>
      <c r="Q73" s="222"/>
      <c r="R73" s="228"/>
      <c r="S73" s="228"/>
      <c r="T73" s="222"/>
      <c r="U73" s="222"/>
      <c r="V73" s="222"/>
    </row>
    <row r="74" spans="1:22" s="102" customFormat="1" ht="12.75">
      <c r="A74" s="229"/>
      <c r="B74" s="214"/>
      <c r="C74" s="231"/>
      <c r="D74" s="217"/>
      <c r="E74" s="217"/>
      <c r="F74" s="220"/>
      <c r="G74" s="217"/>
      <c r="H74" s="111"/>
      <c r="I74" s="112"/>
      <c r="J74" s="112"/>
      <c r="K74" s="112"/>
      <c r="L74" s="113">
        <f aca="true" t="shared" si="4" ref="L74:L95">I74*J74*K74</f>
        <v>0</v>
      </c>
      <c r="M74" s="220">
        <v>0</v>
      </c>
      <c r="N74" s="220">
        <f>IF($C74&gt;1,(($F74*$G74)-($L74+$L75+$L76))*B74,0)</f>
        <v>0</v>
      </c>
      <c r="O74" s="220">
        <v>0</v>
      </c>
      <c r="P74" s="220">
        <v>0</v>
      </c>
      <c r="Q74" s="220">
        <v>0</v>
      </c>
      <c r="R74" s="226">
        <v>0</v>
      </c>
      <c r="S74" s="226">
        <f>A76</f>
        <v>0</v>
      </c>
      <c r="T74" s="220">
        <v>0</v>
      </c>
      <c r="U74" s="220">
        <v>0</v>
      </c>
      <c r="V74" s="220">
        <f>IF($C74=1,(($F74*$G74)-($L74+$L75+$L76))*$B74,0)</f>
        <v>0</v>
      </c>
    </row>
    <row r="75" spans="1:22" s="102" customFormat="1" ht="12.75">
      <c r="A75" s="230"/>
      <c r="B75" s="215"/>
      <c r="C75" s="232"/>
      <c r="D75" s="218"/>
      <c r="E75" s="218"/>
      <c r="F75" s="221"/>
      <c r="G75" s="218"/>
      <c r="H75" s="111"/>
      <c r="I75" s="112"/>
      <c r="J75" s="112"/>
      <c r="K75" s="112"/>
      <c r="L75" s="113">
        <f t="shared" si="4"/>
        <v>0</v>
      </c>
      <c r="M75" s="221"/>
      <c r="N75" s="221"/>
      <c r="O75" s="221"/>
      <c r="P75" s="221"/>
      <c r="Q75" s="221"/>
      <c r="R75" s="227"/>
      <c r="S75" s="227"/>
      <c r="T75" s="221"/>
      <c r="U75" s="221"/>
      <c r="V75" s="221"/>
    </row>
    <row r="76" spans="1:22" s="102" customFormat="1" ht="12.75">
      <c r="A76" s="114"/>
      <c r="B76" s="216"/>
      <c r="C76" s="233"/>
      <c r="D76" s="219"/>
      <c r="E76" s="219"/>
      <c r="F76" s="222"/>
      <c r="G76" s="219"/>
      <c r="H76" s="111"/>
      <c r="I76" s="112"/>
      <c r="J76" s="112"/>
      <c r="K76" s="112"/>
      <c r="L76" s="113">
        <f t="shared" si="4"/>
        <v>0</v>
      </c>
      <c r="M76" s="222"/>
      <c r="N76" s="222"/>
      <c r="O76" s="222"/>
      <c r="P76" s="222"/>
      <c r="Q76" s="222"/>
      <c r="R76" s="228"/>
      <c r="S76" s="228"/>
      <c r="T76" s="222"/>
      <c r="U76" s="222"/>
      <c r="V76" s="222"/>
    </row>
    <row r="77" spans="1:22" s="102" customFormat="1" ht="12.75">
      <c r="A77" s="229"/>
      <c r="B77" s="214"/>
      <c r="C77" s="231"/>
      <c r="D77" s="217"/>
      <c r="E77" s="217"/>
      <c r="F77" s="220"/>
      <c r="G77" s="217"/>
      <c r="H77" s="111"/>
      <c r="I77" s="112"/>
      <c r="J77" s="112"/>
      <c r="K77" s="112"/>
      <c r="L77" s="113">
        <f t="shared" si="4"/>
        <v>0</v>
      </c>
      <c r="M77" s="220">
        <v>0</v>
      </c>
      <c r="N77" s="220">
        <f>IF($C77&gt;1,(($F77*$G77)-($L77+$L78+$L79))*B77,0)</f>
        <v>0</v>
      </c>
      <c r="O77" s="220">
        <v>0</v>
      </c>
      <c r="P77" s="220">
        <v>0</v>
      </c>
      <c r="Q77" s="220">
        <v>0</v>
      </c>
      <c r="R77" s="226">
        <v>0</v>
      </c>
      <c r="S77" s="226">
        <f>A79</f>
        <v>0</v>
      </c>
      <c r="T77" s="220">
        <v>0</v>
      </c>
      <c r="U77" s="220">
        <v>0</v>
      </c>
      <c r="V77" s="220">
        <f>IF($C77=1,(($F77*$G77)-($L77+$L78+$L79))*$B77,0)</f>
        <v>0</v>
      </c>
    </row>
    <row r="78" spans="1:22" s="102" customFormat="1" ht="12.75">
      <c r="A78" s="230"/>
      <c r="B78" s="215"/>
      <c r="C78" s="232"/>
      <c r="D78" s="218"/>
      <c r="E78" s="218"/>
      <c r="F78" s="221"/>
      <c r="G78" s="218"/>
      <c r="H78" s="111"/>
      <c r="I78" s="112"/>
      <c r="J78" s="112"/>
      <c r="K78" s="112"/>
      <c r="L78" s="113">
        <f t="shared" si="4"/>
        <v>0</v>
      </c>
      <c r="M78" s="221"/>
      <c r="N78" s="221"/>
      <c r="O78" s="221"/>
      <c r="P78" s="221"/>
      <c r="Q78" s="221"/>
      <c r="R78" s="227"/>
      <c r="S78" s="227"/>
      <c r="T78" s="221"/>
      <c r="U78" s="221"/>
      <c r="V78" s="221"/>
    </row>
    <row r="79" spans="1:22" s="102" customFormat="1" ht="12.75">
      <c r="A79" s="114"/>
      <c r="B79" s="216"/>
      <c r="C79" s="233"/>
      <c r="D79" s="219"/>
      <c r="E79" s="219"/>
      <c r="F79" s="222"/>
      <c r="G79" s="219"/>
      <c r="H79" s="111"/>
      <c r="I79" s="112"/>
      <c r="J79" s="112"/>
      <c r="K79" s="112"/>
      <c r="L79" s="113">
        <f t="shared" si="4"/>
        <v>0</v>
      </c>
      <c r="M79" s="222"/>
      <c r="N79" s="222"/>
      <c r="O79" s="222"/>
      <c r="P79" s="222"/>
      <c r="Q79" s="222"/>
      <c r="R79" s="228"/>
      <c r="S79" s="228"/>
      <c r="T79" s="222"/>
      <c r="U79" s="222"/>
      <c r="V79" s="222"/>
    </row>
    <row r="80" spans="1:22" s="102" customFormat="1" ht="12.75">
      <c r="A80" s="229"/>
      <c r="B80" s="214"/>
      <c r="C80" s="231"/>
      <c r="D80" s="217"/>
      <c r="E80" s="217"/>
      <c r="F80" s="220"/>
      <c r="G80" s="217"/>
      <c r="H80" s="111"/>
      <c r="I80" s="112"/>
      <c r="J80" s="112"/>
      <c r="K80" s="112"/>
      <c r="L80" s="113">
        <f t="shared" si="4"/>
        <v>0</v>
      </c>
      <c r="M80" s="220">
        <v>0</v>
      </c>
      <c r="N80" s="220">
        <f>IF($C80&gt;1,(($F80*$G80)-($L80+$L81+$L82))*B80,0)</f>
        <v>0</v>
      </c>
      <c r="O80" s="220">
        <v>0</v>
      </c>
      <c r="P80" s="220">
        <v>0</v>
      </c>
      <c r="Q80" s="220">
        <v>0</v>
      </c>
      <c r="R80" s="226">
        <v>0</v>
      </c>
      <c r="S80" s="226">
        <f>A82</f>
        <v>0</v>
      </c>
      <c r="T80" s="220">
        <v>0</v>
      </c>
      <c r="U80" s="220">
        <v>0</v>
      </c>
      <c r="V80" s="220">
        <f>IF($C80=1,(($F80*$G80)-($L80+$L81+$L82))*$B80,0)</f>
        <v>0</v>
      </c>
    </row>
    <row r="81" spans="1:22" s="102" customFormat="1" ht="12.75">
      <c r="A81" s="230"/>
      <c r="B81" s="215"/>
      <c r="C81" s="232"/>
      <c r="D81" s="218"/>
      <c r="E81" s="218"/>
      <c r="F81" s="221"/>
      <c r="G81" s="218"/>
      <c r="H81" s="111"/>
      <c r="I81" s="112"/>
      <c r="J81" s="112"/>
      <c r="K81" s="112"/>
      <c r="L81" s="113">
        <f t="shared" si="4"/>
        <v>0</v>
      </c>
      <c r="M81" s="221"/>
      <c r="N81" s="221"/>
      <c r="O81" s="221"/>
      <c r="P81" s="221"/>
      <c r="Q81" s="221"/>
      <c r="R81" s="227"/>
      <c r="S81" s="227"/>
      <c r="T81" s="221"/>
      <c r="U81" s="221"/>
      <c r="V81" s="221"/>
    </row>
    <row r="82" spans="1:22" s="102" customFormat="1" ht="12.75">
      <c r="A82" s="114"/>
      <c r="B82" s="216"/>
      <c r="C82" s="233"/>
      <c r="D82" s="219"/>
      <c r="E82" s="219"/>
      <c r="F82" s="222"/>
      <c r="G82" s="219"/>
      <c r="H82" s="111"/>
      <c r="I82" s="112"/>
      <c r="J82" s="112"/>
      <c r="K82" s="112"/>
      <c r="L82" s="113">
        <f t="shared" si="4"/>
        <v>0</v>
      </c>
      <c r="M82" s="222"/>
      <c r="N82" s="222"/>
      <c r="O82" s="222"/>
      <c r="P82" s="222"/>
      <c r="Q82" s="222"/>
      <c r="R82" s="228"/>
      <c r="S82" s="228"/>
      <c r="T82" s="222"/>
      <c r="U82" s="222"/>
      <c r="V82" s="222"/>
    </row>
    <row r="83" spans="1:22" s="102" customFormat="1" ht="12.75">
      <c r="A83" s="229"/>
      <c r="B83" s="214"/>
      <c r="C83" s="231"/>
      <c r="D83" s="217"/>
      <c r="E83" s="217"/>
      <c r="F83" s="254"/>
      <c r="G83" s="217"/>
      <c r="H83" s="111"/>
      <c r="I83" s="112"/>
      <c r="J83" s="112"/>
      <c r="K83" s="112"/>
      <c r="L83" s="113">
        <f t="shared" si="4"/>
        <v>0</v>
      </c>
      <c r="M83" s="220">
        <v>0</v>
      </c>
      <c r="N83" s="220">
        <f>IF($C83&gt;1,(($F83*$G83)-($L83+$L84+$L85))*B83,0)</f>
        <v>0</v>
      </c>
      <c r="O83" s="220">
        <v>0</v>
      </c>
      <c r="P83" s="220">
        <v>0</v>
      </c>
      <c r="Q83" s="220">
        <v>0</v>
      </c>
      <c r="R83" s="226">
        <v>0</v>
      </c>
      <c r="S83" s="226">
        <f>A85</f>
        <v>0</v>
      </c>
      <c r="T83" s="220">
        <v>0</v>
      </c>
      <c r="U83" s="220">
        <v>0</v>
      </c>
      <c r="V83" s="220">
        <f>IF($C83=1,(($F83*$G83)-($L83+$L84+$L85))*$B83,0)</f>
        <v>0</v>
      </c>
    </row>
    <row r="84" spans="1:22" s="102" customFormat="1" ht="12.75">
      <c r="A84" s="230"/>
      <c r="B84" s="215"/>
      <c r="C84" s="232"/>
      <c r="D84" s="218"/>
      <c r="E84" s="218"/>
      <c r="F84" s="255"/>
      <c r="G84" s="218"/>
      <c r="H84" s="111"/>
      <c r="I84" s="112"/>
      <c r="J84" s="112"/>
      <c r="K84" s="112"/>
      <c r="L84" s="113">
        <f t="shared" si="4"/>
        <v>0</v>
      </c>
      <c r="M84" s="221"/>
      <c r="N84" s="221"/>
      <c r="O84" s="221"/>
      <c r="P84" s="221"/>
      <c r="Q84" s="221"/>
      <c r="R84" s="227"/>
      <c r="S84" s="227"/>
      <c r="T84" s="221"/>
      <c r="U84" s="221"/>
      <c r="V84" s="221"/>
    </row>
    <row r="85" spans="1:22" s="102" customFormat="1" ht="12.75">
      <c r="A85" s="114"/>
      <c r="B85" s="216"/>
      <c r="C85" s="233"/>
      <c r="D85" s="219"/>
      <c r="E85" s="219"/>
      <c r="F85" s="256"/>
      <c r="G85" s="219"/>
      <c r="H85" s="111"/>
      <c r="I85" s="112"/>
      <c r="J85" s="112"/>
      <c r="K85" s="112"/>
      <c r="L85" s="113">
        <f t="shared" si="4"/>
        <v>0</v>
      </c>
      <c r="M85" s="222"/>
      <c r="N85" s="222"/>
      <c r="O85" s="222"/>
      <c r="P85" s="222"/>
      <c r="Q85" s="222"/>
      <c r="R85" s="228"/>
      <c r="S85" s="228"/>
      <c r="T85" s="222"/>
      <c r="U85" s="222"/>
      <c r="V85" s="222"/>
    </row>
    <row r="86" spans="1:22" s="102" customFormat="1" ht="12.75">
      <c r="A86" s="229"/>
      <c r="B86" s="214"/>
      <c r="C86" s="231"/>
      <c r="D86" s="217"/>
      <c r="E86" s="217"/>
      <c r="F86" s="226"/>
      <c r="G86" s="217"/>
      <c r="H86" s="111"/>
      <c r="I86" s="112"/>
      <c r="J86" s="112"/>
      <c r="K86" s="112"/>
      <c r="L86" s="113">
        <f t="shared" si="4"/>
        <v>0</v>
      </c>
      <c r="M86" s="220">
        <v>0</v>
      </c>
      <c r="N86" s="220">
        <f>IF($C86&gt;1,(($F86*$G86)-($L86+$L87+$L88))*B86,0)</f>
        <v>0</v>
      </c>
      <c r="O86" s="220">
        <v>0</v>
      </c>
      <c r="P86" s="220">
        <v>0</v>
      </c>
      <c r="Q86" s="220">
        <v>0</v>
      </c>
      <c r="R86" s="226">
        <v>0</v>
      </c>
      <c r="S86" s="226">
        <f>A88</f>
        <v>0</v>
      </c>
      <c r="T86" s="220">
        <v>0</v>
      </c>
      <c r="U86" s="220">
        <v>0</v>
      </c>
      <c r="V86" s="220">
        <f>IF($C86=1,(($F86*$G86)-($L86+$L87+$L88))*$B86,0)</f>
        <v>0</v>
      </c>
    </row>
    <row r="87" spans="1:22" s="102" customFormat="1" ht="12.75">
      <c r="A87" s="230"/>
      <c r="B87" s="215"/>
      <c r="C87" s="232"/>
      <c r="D87" s="218"/>
      <c r="E87" s="218"/>
      <c r="F87" s="227"/>
      <c r="G87" s="218"/>
      <c r="H87" s="111"/>
      <c r="I87" s="112"/>
      <c r="J87" s="112"/>
      <c r="K87" s="112"/>
      <c r="L87" s="113">
        <f t="shared" si="4"/>
        <v>0</v>
      </c>
      <c r="M87" s="221"/>
      <c r="N87" s="221"/>
      <c r="O87" s="221"/>
      <c r="P87" s="221"/>
      <c r="Q87" s="221"/>
      <c r="R87" s="227"/>
      <c r="S87" s="227"/>
      <c r="T87" s="221"/>
      <c r="U87" s="221"/>
      <c r="V87" s="221"/>
    </row>
    <row r="88" spans="1:22" s="102" customFormat="1" ht="12.75">
      <c r="A88" s="114"/>
      <c r="B88" s="216"/>
      <c r="C88" s="233"/>
      <c r="D88" s="219"/>
      <c r="E88" s="219"/>
      <c r="F88" s="228"/>
      <c r="G88" s="219"/>
      <c r="H88" s="111"/>
      <c r="I88" s="112"/>
      <c r="J88" s="112"/>
      <c r="K88" s="112"/>
      <c r="L88" s="113">
        <f t="shared" si="4"/>
        <v>0</v>
      </c>
      <c r="M88" s="222"/>
      <c r="N88" s="222"/>
      <c r="O88" s="222"/>
      <c r="P88" s="222"/>
      <c r="Q88" s="222"/>
      <c r="R88" s="228"/>
      <c r="S88" s="228"/>
      <c r="T88" s="222"/>
      <c r="U88" s="222"/>
      <c r="V88" s="222"/>
    </row>
    <row r="89" spans="1:22" s="102" customFormat="1" ht="12.75">
      <c r="A89" s="229"/>
      <c r="B89" s="214"/>
      <c r="C89" s="231"/>
      <c r="D89" s="217"/>
      <c r="E89" s="217"/>
      <c r="F89" s="226"/>
      <c r="G89" s="217"/>
      <c r="H89" s="111"/>
      <c r="I89" s="112"/>
      <c r="J89" s="112"/>
      <c r="K89" s="112"/>
      <c r="L89" s="113">
        <f t="shared" si="4"/>
        <v>0</v>
      </c>
      <c r="M89" s="220">
        <v>0</v>
      </c>
      <c r="N89" s="220">
        <f>IF($C89&gt;1,(($F89*$G89)-($L89+$L90+$L91))*B89,0)</f>
        <v>0</v>
      </c>
      <c r="O89" s="220">
        <v>0</v>
      </c>
      <c r="P89" s="220">
        <v>0</v>
      </c>
      <c r="Q89" s="220">
        <v>0</v>
      </c>
      <c r="R89" s="226">
        <v>0</v>
      </c>
      <c r="S89" s="226">
        <f>A91</f>
        <v>0</v>
      </c>
      <c r="T89" s="220">
        <v>0</v>
      </c>
      <c r="U89" s="220">
        <v>0</v>
      </c>
      <c r="V89" s="220">
        <f>IF($C89=1,(($F89*$G89)-($L89+$L90+$L91))*$B89,0)</f>
        <v>0</v>
      </c>
    </row>
    <row r="90" spans="1:22" s="102" customFormat="1" ht="12.75">
      <c r="A90" s="230"/>
      <c r="B90" s="215"/>
      <c r="C90" s="232"/>
      <c r="D90" s="218"/>
      <c r="E90" s="218"/>
      <c r="F90" s="227"/>
      <c r="G90" s="218"/>
      <c r="H90" s="111"/>
      <c r="I90" s="112"/>
      <c r="J90" s="112"/>
      <c r="K90" s="112"/>
      <c r="L90" s="113">
        <f t="shared" si="4"/>
        <v>0</v>
      </c>
      <c r="M90" s="221"/>
      <c r="N90" s="221"/>
      <c r="O90" s="221"/>
      <c r="P90" s="221"/>
      <c r="Q90" s="221"/>
      <c r="R90" s="227"/>
      <c r="S90" s="227"/>
      <c r="T90" s="221"/>
      <c r="U90" s="221"/>
      <c r="V90" s="221"/>
    </row>
    <row r="91" spans="1:22" s="102" customFormat="1" ht="12.75">
      <c r="A91" s="114"/>
      <c r="B91" s="216"/>
      <c r="C91" s="233"/>
      <c r="D91" s="219"/>
      <c r="E91" s="219"/>
      <c r="F91" s="228"/>
      <c r="G91" s="219"/>
      <c r="H91" s="111"/>
      <c r="I91" s="112"/>
      <c r="J91" s="112"/>
      <c r="K91" s="112"/>
      <c r="L91" s="113">
        <f t="shared" si="4"/>
        <v>0</v>
      </c>
      <c r="M91" s="222"/>
      <c r="N91" s="222"/>
      <c r="O91" s="222"/>
      <c r="P91" s="222"/>
      <c r="Q91" s="222"/>
      <c r="R91" s="228"/>
      <c r="S91" s="228"/>
      <c r="T91" s="222"/>
      <c r="U91" s="222"/>
      <c r="V91" s="222"/>
    </row>
    <row r="92" spans="1:22" s="102" customFormat="1" ht="12.75" customHeight="1">
      <c r="A92" s="229"/>
      <c r="B92" s="214"/>
      <c r="C92" s="214"/>
      <c r="D92" s="217"/>
      <c r="E92" s="217"/>
      <c r="F92" s="220"/>
      <c r="G92" s="217"/>
      <c r="H92" s="115"/>
      <c r="I92" s="116"/>
      <c r="J92" s="116"/>
      <c r="K92" s="116"/>
      <c r="L92" s="113">
        <f t="shared" si="4"/>
        <v>0</v>
      </c>
      <c r="M92" s="220">
        <v>0</v>
      </c>
      <c r="N92" s="220">
        <f>IF($C92&gt;1,(($F92*$G92)-($L92+$L93+$L94+$L95))*B92,0)</f>
        <v>0</v>
      </c>
      <c r="O92" s="220">
        <v>0</v>
      </c>
      <c r="P92" s="220">
        <v>0</v>
      </c>
      <c r="Q92" s="220">
        <v>0</v>
      </c>
      <c r="R92" s="220">
        <f>A95</f>
        <v>0</v>
      </c>
      <c r="S92" s="220">
        <f>A95</f>
        <v>0</v>
      </c>
      <c r="T92" s="220">
        <f>F92*G92</f>
        <v>0</v>
      </c>
      <c r="U92" s="220">
        <v>0</v>
      </c>
      <c r="V92" s="220">
        <v>0</v>
      </c>
    </row>
    <row r="93" spans="1:22" s="102" customFormat="1" ht="12.75">
      <c r="A93" s="230"/>
      <c r="B93" s="215"/>
      <c r="C93" s="215"/>
      <c r="D93" s="218"/>
      <c r="E93" s="218"/>
      <c r="F93" s="221"/>
      <c r="G93" s="218"/>
      <c r="H93" s="111"/>
      <c r="I93" s="112"/>
      <c r="J93" s="112"/>
      <c r="K93" s="112"/>
      <c r="L93" s="113">
        <f t="shared" si="4"/>
        <v>0</v>
      </c>
      <c r="M93" s="221"/>
      <c r="N93" s="221"/>
      <c r="O93" s="221"/>
      <c r="P93" s="221"/>
      <c r="Q93" s="221"/>
      <c r="R93" s="221"/>
      <c r="S93" s="221"/>
      <c r="T93" s="221"/>
      <c r="U93" s="221"/>
      <c r="V93" s="221"/>
    </row>
    <row r="94" spans="1:22" s="102" customFormat="1" ht="12.75">
      <c r="A94" s="230"/>
      <c r="B94" s="215"/>
      <c r="C94" s="215"/>
      <c r="D94" s="218"/>
      <c r="E94" s="218"/>
      <c r="F94" s="221"/>
      <c r="G94" s="218"/>
      <c r="H94" s="111"/>
      <c r="I94" s="112"/>
      <c r="J94" s="112"/>
      <c r="K94" s="112"/>
      <c r="L94" s="113">
        <f t="shared" si="4"/>
        <v>0</v>
      </c>
      <c r="M94" s="221"/>
      <c r="N94" s="221"/>
      <c r="O94" s="221"/>
      <c r="P94" s="221"/>
      <c r="Q94" s="221"/>
      <c r="R94" s="221"/>
      <c r="S94" s="221"/>
      <c r="T94" s="221"/>
      <c r="U94" s="221"/>
      <c r="V94" s="221"/>
    </row>
    <row r="95" spans="1:22" s="102" customFormat="1" ht="12.75">
      <c r="A95" s="114"/>
      <c r="B95" s="216"/>
      <c r="C95" s="216"/>
      <c r="D95" s="219"/>
      <c r="E95" s="219"/>
      <c r="F95" s="222"/>
      <c r="G95" s="219"/>
      <c r="H95" s="111"/>
      <c r="I95" s="112"/>
      <c r="J95" s="112"/>
      <c r="K95" s="112"/>
      <c r="L95" s="113">
        <f t="shared" si="4"/>
        <v>0</v>
      </c>
      <c r="M95" s="222"/>
      <c r="N95" s="222"/>
      <c r="O95" s="222"/>
      <c r="P95" s="222"/>
      <c r="Q95" s="222"/>
      <c r="R95" s="222"/>
      <c r="S95" s="222"/>
      <c r="T95" s="222"/>
      <c r="U95" s="222"/>
      <c r="V95" s="222"/>
    </row>
    <row r="96" spans="2:23" s="102" customFormat="1" ht="16.5" customHeight="1">
      <c r="B96" s="117"/>
      <c r="C96" s="117"/>
      <c r="H96" s="118"/>
      <c r="I96" s="119"/>
      <c r="J96" s="120"/>
      <c r="K96" s="120"/>
      <c r="L96" s="119"/>
      <c r="M96" s="121">
        <f>SUM(M8:M95)</f>
        <v>0</v>
      </c>
      <c r="N96" s="122">
        <f>SUM(N8:N95)</f>
        <v>0</v>
      </c>
      <c r="O96" s="121">
        <f aca="true" t="shared" si="5" ref="O96:V96">SUM(O8:O95)</f>
        <v>105.105</v>
      </c>
      <c r="P96" s="122">
        <f t="shared" si="5"/>
        <v>0</v>
      </c>
      <c r="Q96" s="122">
        <f t="shared" si="5"/>
        <v>0</v>
      </c>
      <c r="R96" s="122">
        <f t="shared" si="5"/>
        <v>0</v>
      </c>
      <c r="S96" s="122">
        <f t="shared" si="5"/>
        <v>81.59</v>
      </c>
      <c r="T96" s="122">
        <f t="shared" si="5"/>
        <v>129.07</v>
      </c>
      <c r="U96" s="122">
        <f t="shared" si="5"/>
        <v>19.200000000000003</v>
      </c>
      <c r="V96" s="122">
        <f t="shared" si="5"/>
        <v>161.68100000000004</v>
      </c>
      <c r="W96" s="123"/>
    </row>
    <row r="97" spans="2:23" s="102" customFormat="1" ht="12.75">
      <c r="B97" s="117"/>
      <c r="C97" s="117"/>
      <c r="H97" s="118"/>
      <c r="I97" s="120"/>
      <c r="J97" s="120"/>
      <c r="K97" s="120"/>
      <c r="L97" s="123"/>
      <c r="M97" s="123"/>
      <c r="N97" s="123"/>
      <c r="O97" s="123"/>
      <c r="P97" s="123"/>
      <c r="Q97" s="123"/>
      <c r="R97" s="119"/>
      <c r="S97" s="123"/>
      <c r="T97" s="123"/>
      <c r="U97" s="123"/>
      <c r="V97" s="123"/>
      <c r="W97" s="123"/>
    </row>
    <row r="98" spans="2:23" s="102" customFormat="1" ht="12.75">
      <c r="B98" s="117"/>
      <c r="C98" s="117"/>
      <c r="H98" s="118"/>
      <c r="I98" s="120"/>
      <c r="J98" s="120"/>
      <c r="K98" s="120"/>
      <c r="L98" s="123"/>
      <c r="M98" s="122">
        <f>M96-M97</f>
        <v>0</v>
      </c>
      <c r="N98" s="123"/>
      <c r="O98" s="122">
        <f>O96-O97</f>
        <v>105.105</v>
      </c>
      <c r="P98" s="123"/>
      <c r="Q98" s="123"/>
      <c r="R98" s="119"/>
      <c r="S98" s="123"/>
      <c r="T98" s="123"/>
      <c r="U98" s="123"/>
      <c r="V98" s="123"/>
      <c r="W98" s="123"/>
    </row>
    <row r="99" spans="2:22" s="102" customFormat="1" ht="12.75">
      <c r="B99" s="117"/>
      <c r="C99" s="117"/>
      <c r="D99" s="124"/>
      <c r="H99" s="125"/>
      <c r="I99" s="120"/>
      <c r="J99" s="120"/>
      <c r="K99" s="120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</row>
    <row r="100" spans="2:22" s="102" customFormat="1" ht="12.75">
      <c r="B100" s="117"/>
      <c r="C100" s="117"/>
      <c r="D100" s="124"/>
      <c r="H100" s="125"/>
      <c r="I100" s="120"/>
      <c r="J100" s="120"/>
      <c r="K100" s="120"/>
      <c r="L100" s="123"/>
      <c r="M100" s="123"/>
      <c r="N100" s="119">
        <f>O98+N96</f>
        <v>105.105</v>
      </c>
      <c r="O100" s="119"/>
      <c r="P100" s="119"/>
      <c r="Q100" s="119"/>
      <c r="R100" s="123"/>
      <c r="S100" s="123"/>
      <c r="T100" s="123"/>
      <c r="U100" s="123"/>
      <c r="V100" s="123"/>
    </row>
    <row r="101" spans="13:25" ht="12.75"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</row>
    <row r="102" spans="13:25" ht="12.75"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</row>
    <row r="103" spans="13:25" ht="12.75"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13:25" ht="12.75"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3:25" ht="12.75"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spans="13:25" ht="12.75"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</row>
    <row r="107" spans="13:25" ht="12.75"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</row>
    <row r="108" spans="13:25" ht="12.75"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</row>
    <row r="109" spans="13:25" ht="12.75"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</row>
    <row r="110" spans="13:25" ht="12.75"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</row>
    <row r="111" spans="13:25" ht="12.75"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</row>
    <row r="112" spans="13:25" ht="12.75"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</row>
    <row r="113" spans="13:25" ht="12.75"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3:25" ht="12.75"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</row>
    <row r="115" spans="13:25" ht="12.75"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</row>
    <row r="116" spans="13:25" ht="12.75"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</row>
  </sheetData>
  <sheetProtection/>
  <mergeCells count="465">
    <mergeCell ref="F36:F41"/>
    <mergeCell ref="G36:G41"/>
    <mergeCell ref="M36:M41"/>
    <mergeCell ref="N36:N41"/>
    <mergeCell ref="A36:A40"/>
    <mergeCell ref="B36:B41"/>
    <mergeCell ref="C36:C41"/>
    <mergeCell ref="D36:D41"/>
    <mergeCell ref="S16:S20"/>
    <mergeCell ref="T16:T20"/>
    <mergeCell ref="U16:U20"/>
    <mergeCell ref="V16:V20"/>
    <mergeCell ref="O16:O20"/>
    <mergeCell ref="P16:P20"/>
    <mergeCell ref="Q16:Q20"/>
    <mergeCell ref="R16:R20"/>
    <mergeCell ref="U11:U15"/>
    <mergeCell ref="V11:V15"/>
    <mergeCell ref="A16:A19"/>
    <mergeCell ref="B16:B20"/>
    <mergeCell ref="C16:C20"/>
    <mergeCell ref="D16:D20"/>
    <mergeCell ref="E16:E20"/>
    <mergeCell ref="F16:F20"/>
    <mergeCell ref="G16:G20"/>
    <mergeCell ref="N16:N20"/>
    <mergeCell ref="Q11:Q15"/>
    <mergeCell ref="R11:R15"/>
    <mergeCell ref="S11:S15"/>
    <mergeCell ref="T11:T15"/>
    <mergeCell ref="F11:F15"/>
    <mergeCell ref="G11:G15"/>
    <mergeCell ref="M11:M15"/>
    <mergeCell ref="P11:P15"/>
    <mergeCell ref="A11:A14"/>
    <mergeCell ref="B11:B15"/>
    <mergeCell ref="C11:C15"/>
    <mergeCell ref="D11:D15"/>
    <mergeCell ref="V89:V91"/>
    <mergeCell ref="N89:N91"/>
    <mergeCell ref="O89:O91"/>
    <mergeCell ref="P89:P91"/>
    <mergeCell ref="Q89:Q91"/>
    <mergeCell ref="R89:R91"/>
    <mergeCell ref="S89:S91"/>
    <mergeCell ref="T89:T91"/>
    <mergeCell ref="U89:U91"/>
    <mergeCell ref="E89:E91"/>
    <mergeCell ref="F89:F91"/>
    <mergeCell ref="G89:G91"/>
    <mergeCell ref="M89:M91"/>
    <mergeCell ref="A89:A90"/>
    <mergeCell ref="B89:B91"/>
    <mergeCell ref="C89:C91"/>
    <mergeCell ref="D89:D91"/>
    <mergeCell ref="T86:T88"/>
    <mergeCell ref="U86:U88"/>
    <mergeCell ref="R86:R88"/>
    <mergeCell ref="V86:V88"/>
    <mergeCell ref="O86:O88"/>
    <mergeCell ref="P86:P88"/>
    <mergeCell ref="Q86:Q88"/>
    <mergeCell ref="S86:S88"/>
    <mergeCell ref="V83:V85"/>
    <mergeCell ref="A86:A87"/>
    <mergeCell ref="B86:B88"/>
    <mergeCell ref="C86:C88"/>
    <mergeCell ref="D86:D88"/>
    <mergeCell ref="E86:E88"/>
    <mergeCell ref="F86:F88"/>
    <mergeCell ref="G86:G88"/>
    <mergeCell ref="M86:M88"/>
    <mergeCell ref="N86:N88"/>
    <mergeCell ref="S83:S85"/>
    <mergeCell ref="R83:R85"/>
    <mergeCell ref="T83:T85"/>
    <mergeCell ref="U83:U85"/>
    <mergeCell ref="N83:N85"/>
    <mergeCell ref="O83:O85"/>
    <mergeCell ref="P83:P85"/>
    <mergeCell ref="Q83:Q85"/>
    <mergeCell ref="E83:E85"/>
    <mergeCell ref="F83:F85"/>
    <mergeCell ref="G83:G85"/>
    <mergeCell ref="M83:M85"/>
    <mergeCell ref="A83:A84"/>
    <mergeCell ref="B83:B85"/>
    <mergeCell ref="C83:C85"/>
    <mergeCell ref="D83:D85"/>
    <mergeCell ref="S80:S82"/>
    <mergeCell ref="T80:T82"/>
    <mergeCell ref="U80:U82"/>
    <mergeCell ref="V80:V82"/>
    <mergeCell ref="O80:O82"/>
    <mergeCell ref="P80:P82"/>
    <mergeCell ref="Q80:Q82"/>
    <mergeCell ref="R80:R82"/>
    <mergeCell ref="E80:E82"/>
    <mergeCell ref="F80:F82"/>
    <mergeCell ref="G80:G82"/>
    <mergeCell ref="M80:M82"/>
    <mergeCell ref="A80:A81"/>
    <mergeCell ref="B80:B82"/>
    <mergeCell ref="C80:C82"/>
    <mergeCell ref="D80:D82"/>
    <mergeCell ref="E74:E76"/>
    <mergeCell ref="F74:F76"/>
    <mergeCell ref="G74:G76"/>
    <mergeCell ref="M74:M76"/>
    <mergeCell ref="A74:A75"/>
    <mergeCell ref="B74:B76"/>
    <mergeCell ref="C74:C76"/>
    <mergeCell ref="D74:D76"/>
    <mergeCell ref="P57:P59"/>
    <mergeCell ref="Q57:Q59"/>
    <mergeCell ref="U57:U59"/>
    <mergeCell ref="V57:V59"/>
    <mergeCell ref="S57:S59"/>
    <mergeCell ref="T57:T59"/>
    <mergeCell ref="O8:O10"/>
    <mergeCell ref="N57:N59"/>
    <mergeCell ref="O57:O59"/>
    <mergeCell ref="M21:M23"/>
    <mergeCell ref="N54:N56"/>
    <mergeCell ref="O54:O56"/>
    <mergeCell ref="N48:N50"/>
    <mergeCell ref="N11:N15"/>
    <mergeCell ref="O11:O15"/>
    <mergeCell ref="M16:M20"/>
    <mergeCell ref="M57:M59"/>
    <mergeCell ref="M5:Q5"/>
    <mergeCell ref="N21:N23"/>
    <mergeCell ref="O21:O23"/>
    <mergeCell ref="P21:P23"/>
    <mergeCell ref="Q21:Q23"/>
    <mergeCell ref="P6:P7"/>
    <mergeCell ref="Q6:Q7"/>
    <mergeCell ref="N8:N10"/>
    <mergeCell ref="M8:M10"/>
    <mergeCell ref="B57:B59"/>
    <mergeCell ref="C57:C59"/>
    <mergeCell ref="D57:D59"/>
    <mergeCell ref="D21:D23"/>
    <mergeCell ref="B45:B47"/>
    <mergeCell ref="C45:C47"/>
    <mergeCell ref="B21:B23"/>
    <mergeCell ref="T21:T23"/>
    <mergeCell ref="G27:G29"/>
    <mergeCell ref="E27:E29"/>
    <mergeCell ref="F27:F29"/>
    <mergeCell ref="G21:G23"/>
    <mergeCell ref="R74:R76"/>
    <mergeCell ref="S77:S79"/>
    <mergeCell ref="F21:F23"/>
    <mergeCell ref="A27:A28"/>
    <mergeCell ref="B27:B29"/>
    <mergeCell ref="E57:E59"/>
    <mergeCell ref="F57:F59"/>
    <mergeCell ref="A21:A22"/>
    <mergeCell ref="G57:G59"/>
    <mergeCell ref="A57:A58"/>
    <mergeCell ref="R60:R62"/>
    <mergeCell ref="S21:S23"/>
    <mergeCell ref="R57:R59"/>
    <mergeCell ref="T74:T76"/>
    <mergeCell ref="S60:S62"/>
    <mergeCell ref="T60:T62"/>
    <mergeCell ref="R63:R65"/>
    <mergeCell ref="T42:T44"/>
    <mergeCell ref="S30:S32"/>
    <mergeCell ref="T30:T32"/>
    <mergeCell ref="V92:V95"/>
    <mergeCell ref="M92:M95"/>
    <mergeCell ref="N92:N95"/>
    <mergeCell ref="O92:O95"/>
    <mergeCell ref="P92:P95"/>
    <mergeCell ref="R92:R95"/>
    <mergeCell ref="S92:S95"/>
    <mergeCell ref="Q92:Q95"/>
    <mergeCell ref="T92:T95"/>
    <mergeCell ref="O77:O79"/>
    <mergeCell ref="P77:P79"/>
    <mergeCell ref="N74:N76"/>
    <mergeCell ref="U92:U95"/>
    <mergeCell ref="O74:O76"/>
    <mergeCell ref="P74:P76"/>
    <mergeCell ref="Q74:Q76"/>
    <mergeCell ref="S74:S76"/>
    <mergeCell ref="U74:U76"/>
    <mergeCell ref="N80:N82"/>
    <mergeCell ref="O66:O70"/>
    <mergeCell ref="P66:P70"/>
    <mergeCell ref="O71:O73"/>
    <mergeCell ref="P71:P73"/>
    <mergeCell ref="M66:M70"/>
    <mergeCell ref="N66:N70"/>
    <mergeCell ref="M71:M73"/>
    <mergeCell ref="M77:M79"/>
    <mergeCell ref="N77:N79"/>
    <mergeCell ref="U6:U7"/>
    <mergeCell ref="V6:V7"/>
    <mergeCell ref="R6:R7"/>
    <mergeCell ref="S6:S7"/>
    <mergeCell ref="H6:K6"/>
    <mergeCell ref="L6:L7"/>
    <mergeCell ref="N6:N7"/>
    <mergeCell ref="O6:O7"/>
    <mergeCell ref="U21:U23"/>
    <mergeCell ref="V21:V23"/>
    <mergeCell ref="A24:A25"/>
    <mergeCell ref="B24:B26"/>
    <mergeCell ref="C24:C26"/>
    <mergeCell ref="D24:D26"/>
    <mergeCell ref="E24:E26"/>
    <mergeCell ref="F24:F26"/>
    <mergeCell ref="G24:G26"/>
    <mergeCell ref="M24:M26"/>
    <mergeCell ref="E54:E56"/>
    <mergeCell ref="F54:F56"/>
    <mergeCell ref="G54:G56"/>
    <mergeCell ref="M54:M56"/>
    <mergeCell ref="A54:A55"/>
    <mergeCell ref="B54:B56"/>
    <mergeCell ref="C54:C56"/>
    <mergeCell ref="D54:D56"/>
    <mergeCell ref="U51:U53"/>
    <mergeCell ref="V51:V53"/>
    <mergeCell ref="P54:P56"/>
    <mergeCell ref="Q54:Q56"/>
    <mergeCell ref="R54:R56"/>
    <mergeCell ref="R51:R53"/>
    <mergeCell ref="U54:U56"/>
    <mergeCell ref="V54:V56"/>
    <mergeCell ref="S54:S56"/>
    <mergeCell ref="T54:T56"/>
    <mergeCell ref="A51:A52"/>
    <mergeCell ref="B51:B53"/>
    <mergeCell ref="C51:C53"/>
    <mergeCell ref="D51:D53"/>
    <mergeCell ref="E51:E53"/>
    <mergeCell ref="F51:F53"/>
    <mergeCell ref="G51:G53"/>
    <mergeCell ref="T24:T26"/>
    <mergeCell ref="S24:S26"/>
    <mergeCell ref="S27:S29"/>
    <mergeCell ref="S51:S53"/>
    <mergeCell ref="T51:T53"/>
    <mergeCell ref="S45:S47"/>
    <mergeCell ref="S42:S44"/>
    <mergeCell ref="V48:V50"/>
    <mergeCell ref="D45:D47"/>
    <mergeCell ref="E48:E50"/>
    <mergeCell ref="G48:G50"/>
    <mergeCell ref="M48:M50"/>
    <mergeCell ref="O48:O50"/>
    <mergeCell ref="P48:P50"/>
    <mergeCell ref="F48:F50"/>
    <mergeCell ref="R48:R50"/>
    <mergeCell ref="S48:S50"/>
    <mergeCell ref="V71:V73"/>
    <mergeCell ref="M27:M29"/>
    <mergeCell ref="N27:N29"/>
    <mergeCell ref="O27:O29"/>
    <mergeCell ref="P27:P29"/>
    <mergeCell ref="Q27:Q29"/>
    <mergeCell ref="S71:S73"/>
    <mergeCell ref="M51:M53"/>
    <mergeCell ref="N71:N73"/>
    <mergeCell ref="T71:T73"/>
    <mergeCell ref="A48:A49"/>
    <mergeCell ref="B48:B50"/>
    <mergeCell ref="C48:C50"/>
    <mergeCell ref="D48:D50"/>
    <mergeCell ref="N51:N53"/>
    <mergeCell ref="F45:F47"/>
    <mergeCell ref="G45:G47"/>
    <mergeCell ref="M45:M47"/>
    <mergeCell ref="N45:N47"/>
    <mergeCell ref="Q48:Q50"/>
    <mergeCell ref="O51:O53"/>
    <mergeCell ref="P51:P53"/>
    <mergeCell ref="A66:A69"/>
    <mergeCell ref="B66:B70"/>
    <mergeCell ref="C66:C70"/>
    <mergeCell ref="D66:D70"/>
    <mergeCell ref="N60:N62"/>
    <mergeCell ref="E60:E62"/>
    <mergeCell ref="A63:A64"/>
    <mergeCell ref="A71:A72"/>
    <mergeCell ref="B71:B73"/>
    <mergeCell ref="C71:C73"/>
    <mergeCell ref="D71:D73"/>
    <mergeCell ref="E71:E73"/>
    <mergeCell ref="F71:F73"/>
    <mergeCell ref="G71:G73"/>
    <mergeCell ref="E66:E70"/>
    <mergeCell ref="F66:F70"/>
    <mergeCell ref="G66:G70"/>
    <mergeCell ref="F8:F10"/>
    <mergeCell ref="T48:T50"/>
    <mergeCell ref="U48:U50"/>
    <mergeCell ref="A8:A9"/>
    <mergeCell ref="B8:B10"/>
    <mergeCell ref="C8:C10"/>
    <mergeCell ref="P8:P10"/>
    <mergeCell ref="Q8:Q10"/>
    <mergeCell ref="A42:A43"/>
    <mergeCell ref="A45:A46"/>
    <mergeCell ref="V8:V10"/>
    <mergeCell ref="T8:T10"/>
    <mergeCell ref="U24:U26"/>
    <mergeCell ref="T45:T47"/>
    <mergeCell ref="U45:U47"/>
    <mergeCell ref="V45:V47"/>
    <mergeCell ref="V24:V26"/>
    <mergeCell ref="T27:T29"/>
    <mergeCell ref="U27:U29"/>
    <mergeCell ref="V27:V29"/>
    <mergeCell ref="U8:U10"/>
    <mergeCell ref="D8:D10"/>
    <mergeCell ref="B42:B44"/>
    <mergeCell ref="C42:C44"/>
    <mergeCell ref="D42:D44"/>
    <mergeCell ref="G8:G10"/>
    <mergeCell ref="S8:S10"/>
    <mergeCell ref="R8:R10"/>
    <mergeCell ref="R21:R23"/>
    <mergeCell ref="N24:N26"/>
    <mergeCell ref="E45:E47"/>
    <mergeCell ref="E8:E10"/>
    <mergeCell ref="E42:E44"/>
    <mergeCell ref="C27:C29"/>
    <mergeCell ref="D27:D29"/>
    <mergeCell ref="E21:E23"/>
    <mergeCell ref="C21:C23"/>
    <mergeCell ref="E11:E15"/>
    <mergeCell ref="E36:E41"/>
    <mergeCell ref="B63:B65"/>
    <mergeCell ref="A60:A61"/>
    <mergeCell ref="B60:B62"/>
    <mergeCell ref="C60:C62"/>
    <mergeCell ref="D60:D62"/>
    <mergeCell ref="Q51:Q53"/>
    <mergeCell ref="O24:O26"/>
    <mergeCell ref="P24:P26"/>
    <mergeCell ref="Q24:Q26"/>
    <mergeCell ref="O33:O35"/>
    <mergeCell ref="P33:P35"/>
    <mergeCell ref="Q33:Q35"/>
    <mergeCell ref="O42:O44"/>
    <mergeCell ref="Q45:Q47"/>
    <mergeCell ref="O36:O41"/>
    <mergeCell ref="R27:R29"/>
    <mergeCell ref="R24:R26"/>
    <mergeCell ref="V33:V35"/>
    <mergeCell ref="U30:U32"/>
    <mergeCell ref="T36:T41"/>
    <mergeCell ref="U36:U41"/>
    <mergeCell ref="V36:V41"/>
    <mergeCell ref="P36:P41"/>
    <mergeCell ref="Q36:Q41"/>
    <mergeCell ref="U42:U44"/>
    <mergeCell ref="V42:V44"/>
    <mergeCell ref="U33:U35"/>
    <mergeCell ref="R33:R35"/>
    <mergeCell ref="S33:S35"/>
    <mergeCell ref="T33:T35"/>
    <mergeCell ref="R36:R41"/>
    <mergeCell ref="S36:S41"/>
    <mergeCell ref="U1:U2"/>
    <mergeCell ref="M6:M7"/>
    <mergeCell ref="T6:T7"/>
    <mergeCell ref="B6:B7"/>
    <mergeCell ref="J1:J3"/>
    <mergeCell ref="C6:C7"/>
    <mergeCell ref="G6:G7"/>
    <mergeCell ref="D6:D7"/>
    <mergeCell ref="E6:E7"/>
    <mergeCell ref="F6:F7"/>
    <mergeCell ref="V60:V62"/>
    <mergeCell ref="C63:C65"/>
    <mergeCell ref="D63:D65"/>
    <mergeCell ref="E63:E65"/>
    <mergeCell ref="F63:F65"/>
    <mergeCell ref="G63:G65"/>
    <mergeCell ref="M63:M65"/>
    <mergeCell ref="N63:N65"/>
    <mergeCell ref="U60:U62"/>
    <mergeCell ref="O63:O65"/>
    <mergeCell ref="A77:A78"/>
    <mergeCell ref="B77:B79"/>
    <mergeCell ref="C77:C79"/>
    <mergeCell ref="D77:D79"/>
    <mergeCell ref="F42:F44"/>
    <mergeCell ref="G42:G44"/>
    <mergeCell ref="M42:M44"/>
    <mergeCell ref="N42:N44"/>
    <mergeCell ref="R45:R47"/>
    <mergeCell ref="Q42:Q44"/>
    <mergeCell ref="R42:R44"/>
    <mergeCell ref="O45:O47"/>
    <mergeCell ref="P45:P47"/>
    <mergeCell ref="P42:P44"/>
    <mergeCell ref="O60:O62"/>
    <mergeCell ref="P60:P62"/>
    <mergeCell ref="Q60:Q62"/>
    <mergeCell ref="E77:E79"/>
    <mergeCell ref="F77:F79"/>
    <mergeCell ref="G77:G79"/>
    <mergeCell ref="P63:P65"/>
    <mergeCell ref="F60:F62"/>
    <mergeCell ref="G60:G62"/>
    <mergeCell ref="M60:M62"/>
    <mergeCell ref="U63:U65"/>
    <mergeCell ref="V63:V65"/>
    <mergeCell ref="T77:T79"/>
    <mergeCell ref="U77:U79"/>
    <mergeCell ref="V77:V79"/>
    <mergeCell ref="V74:V76"/>
    <mergeCell ref="V66:V70"/>
    <mergeCell ref="T66:T70"/>
    <mergeCell ref="U66:U70"/>
    <mergeCell ref="U71:U73"/>
    <mergeCell ref="Q77:Q79"/>
    <mergeCell ref="T63:T65"/>
    <mergeCell ref="Q71:Q73"/>
    <mergeCell ref="Q63:Q65"/>
    <mergeCell ref="S63:S65"/>
    <mergeCell ref="Q66:Q70"/>
    <mergeCell ref="S66:S70"/>
    <mergeCell ref="R71:R73"/>
    <mergeCell ref="R77:R79"/>
    <mergeCell ref="R66:R70"/>
    <mergeCell ref="A92:A94"/>
    <mergeCell ref="B92:B95"/>
    <mergeCell ref="C92:C95"/>
    <mergeCell ref="D92:D95"/>
    <mergeCell ref="E92:E95"/>
    <mergeCell ref="F92:F95"/>
    <mergeCell ref="G92:G95"/>
    <mergeCell ref="V30:V32"/>
    <mergeCell ref="E33:E35"/>
    <mergeCell ref="F33:F35"/>
    <mergeCell ref="G33:G35"/>
    <mergeCell ref="M33:M35"/>
    <mergeCell ref="N33:N35"/>
    <mergeCell ref="R30:R32"/>
    <mergeCell ref="A33:A34"/>
    <mergeCell ref="B33:B35"/>
    <mergeCell ref="C33:C35"/>
    <mergeCell ref="D33:D35"/>
    <mergeCell ref="N30:N32"/>
    <mergeCell ref="O30:O32"/>
    <mergeCell ref="P30:P32"/>
    <mergeCell ref="Q30:Q32"/>
    <mergeCell ref="T5:V5"/>
    <mergeCell ref="R5:S5"/>
    <mergeCell ref="A30:A31"/>
    <mergeCell ref="B30:B32"/>
    <mergeCell ref="C30:C32"/>
    <mergeCell ref="D30:D32"/>
    <mergeCell ref="E30:E32"/>
    <mergeCell ref="F30:F32"/>
    <mergeCell ref="G30:G32"/>
    <mergeCell ref="M30:M32"/>
  </mergeCells>
  <printOptions/>
  <pageMargins left="0.7874015748031497" right="0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Fabio Luiz</cp:lastModifiedBy>
  <cp:lastPrinted>2013-03-13T19:43:46Z</cp:lastPrinted>
  <dcterms:created xsi:type="dcterms:W3CDTF">2094-09-15T23:21:08Z</dcterms:created>
  <dcterms:modified xsi:type="dcterms:W3CDTF">2013-03-13T19:44:03Z</dcterms:modified>
  <cp:category/>
  <cp:version/>
  <cp:contentType/>
  <cp:contentStatus/>
</cp:coreProperties>
</file>