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025" windowWidth="15600" windowHeight="5115" tabRatio="499" activeTab="1"/>
  </bookViews>
  <sheets>
    <sheet name="Plan Geral  C " sheetId="1" r:id="rId1"/>
    <sheet name="Cronograma Fisico Financeiro" sheetId="3" r:id="rId2"/>
  </sheets>
  <definedNames>
    <definedName name="_xlnm._FilterDatabase" localSheetId="0" hidden="1">'Plan Geral  C '!$B$9:$G$438</definedName>
    <definedName name="_xlnm.Print_Area" localSheetId="1">'Cronograma Fisico Financeiro'!$A$13:$T$46</definedName>
    <definedName name="_xlnm.Print_Area" localSheetId="0">'Plan Geral  C '!$A$18:$H$437</definedName>
    <definedName name="_xlnm.Print_Titles" localSheetId="1">'Cronograma Fisico Financeiro'!$A:$D,'Cronograma Fisico Financeiro'!$1:$12</definedName>
    <definedName name="_xlnm.Print_Titles" localSheetId="0">'Plan Geral  C '!$2:$16</definedName>
  </definedNames>
  <calcPr calcId="124519"/>
</workbook>
</file>

<file path=xl/calcChain.xml><?xml version="1.0" encoding="utf-8"?>
<calcChain xmlns="http://schemas.openxmlformats.org/spreadsheetml/2006/main">
  <c r="H395" i="1"/>
  <c r="H394"/>
  <c r="H393"/>
  <c r="H392"/>
  <c r="F403"/>
  <c r="F407"/>
  <c r="F388"/>
  <c r="F387"/>
  <c r="F43"/>
  <c r="H416"/>
  <c r="H415"/>
  <c r="H414"/>
  <c r="H413"/>
  <c r="H412"/>
  <c r="H411"/>
  <c r="F141" l="1"/>
  <c r="H401"/>
  <c r="F77"/>
  <c r="H141"/>
  <c r="H282"/>
  <c r="J27" i="3" l="1"/>
  <c r="B28"/>
  <c r="B38"/>
  <c r="B37"/>
  <c r="B36"/>
  <c r="B35"/>
  <c r="B34"/>
  <c r="B33"/>
  <c r="B32"/>
  <c r="B31"/>
  <c r="B30"/>
  <c r="B29"/>
  <c r="B27"/>
  <c r="B26"/>
  <c r="B25"/>
  <c r="B24"/>
  <c r="B23"/>
  <c r="B22"/>
  <c r="B21"/>
  <c r="B20"/>
  <c r="B19"/>
  <c r="B18"/>
  <c r="B17"/>
  <c r="B16"/>
  <c r="H33" i="1"/>
  <c r="H32"/>
  <c r="H424"/>
  <c r="H423"/>
  <c r="H426"/>
  <c r="H425"/>
  <c r="H422"/>
  <c r="H421"/>
  <c r="H420"/>
  <c r="T27" i="3"/>
  <c r="R27"/>
  <c r="P27"/>
  <c r="N27"/>
  <c r="L27"/>
  <c r="H410" i="1"/>
  <c r="H418" s="1"/>
  <c r="H399"/>
  <c r="H403"/>
  <c r="H404"/>
  <c r="H405"/>
  <c r="H406"/>
  <c r="H407"/>
  <c r="H375"/>
  <c r="H376"/>
  <c r="H377"/>
  <c r="H378"/>
  <c r="H379"/>
  <c r="H380"/>
  <c r="H381"/>
  <c r="H374"/>
  <c r="H364"/>
  <c r="H365"/>
  <c r="H366"/>
  <c r="H367"/>
  <c r="H368"/>
  <c r="H369"/>
  <c r="H370"/>
  <c r="H363"/>
  <c r="H353"/>
  <c r="H352"/>
  <c r="H351"/>
  <c r="H350"/>
  <c r="H349"/>
  <c r="H340"/>
  <c r="H341"/>
  <c r="H342"/>
  <c r="H343"/>
  <c r="H344"/>
  <c r="H345"/>
  <c r="H346"/>
  <c r="H347"/>
  <c r="H348"/>
  <c r="H330"/>
  <c r="H331"/>
  <c r="H332"/>
  <c r="H333"/>
  <c r="H334"/>
  <c r="H335"/>
  <c r="H336"/>
  <c r="H337"/>
  <c r="H338"/>
  <c r="H339"/>
  <c r="H329"/>
  <c r="H324"/>
  <c r="H325"/>
  <c r="H312"/>
  <c r="H313"/>
  <c r="H314"/>
  <c r="H315"/>
  <c r="H316"/>
  <c r="H317"/>
  <c r="H318"/>
  <c r="H319"/>
  <c r="H320"/>
  <c r="H321"/>
  <c r="H322"/>
  <c r="H323"/>
  <c r="H311"/>
  <c r="H300"/>
  <c r="H301"/>
  <c r="H302"/>
  <c r="H304"/>
  <c r="H305"/>
  <c r="H306"/>
  <c r="H307"/>
  <c r="H299"/>
  <c r="H295"/>
  <c r="H296"/>
  <c r="H297"/>
  <c r="H294"/>
  <c r="H290"/>
  <c r="H289"/>
  <c r="H269"/>
  <c r="H270"/>
  <c r="H271"/>
  <c r="H272"/>
  <c r="H273"/>
  <c r="H274"/>
  <c r="H275"/>
  <c r="H276"/>
  <c r="H277"/>
  <c r="H278"/>
  <c r="H279"/>
  <c r="H280"/>
  <c r="H281"/>
  <c r="H283"/>
  <c r="H285"/>
  <c r="H287"/>
  <c r="H268"/>
  <c r="H260"/>
  <c r="H261"/>
  <c r="H262"/>
  <c r="H263"/>
  <c r="H259"/>
  <c r="H249"/>
  <c r="H250"/>
  <c r="H251"/>
  <c r="H252"/>
  <c r="H253"/>
  <c r="H254"/>
  <c r="H255"/>
  <c r="H256"/>
  <c r="H248"/>
  <c r="H243"/>
  <c r="H244"/>
  <c r="H245"/>
  <c r="H242"/>
  <c r="H239"/>
  <c r="H238"/>
  <c r="H235"/>
  <c r="H232"/>
  <c r="H231"/>
  <c r="H221"/>
  <c r="H222"/>
  <c r="H223"/>
  <c r="H224"/>
  <c r="H225"/>
  <c r="H226"/>
  <c r="H227"/>
  <c r="H220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199"/>
  <c r="H193"/>
  <c r="H195"/>
  <c r="H196"/>
  <c r="H197"/>
  <c r="H185"/>
  <c r="H186"/>
  <c r="H187"/>
  <c r="H188"/>
  <c r="H184"/>
  <c r="H171"/>
  <c r="H172"/>
  <c r="H173"/>
  <c r="H174"/>
  <c r="H175"/>
  <c r="H176"/>
  <c r="H177"/>
  <c r="H178"/>
  <c r="H179"/>
  <c r="H180"/>
  <c r="H181"/>
  <c r="H170"/>
  <c r="H169"/>
  <c r="H168"/>
  <c r="H167"/>
  <c r="H162"/>
  <c r="H159"/>
  <c r="H154"/>
  <c r="H153"/>
  <c r="H152"/>
  <c r="H151"/>
  <c r="H150"/>
  <c r="H149"/>
  <c r="H144"/>
  <c r="H143"/>
  <c r="H138"/>
  <c r="H137"/>
  <c r="H121"/>
  <c r="H120"/>
  <c r="H116"/>
  <c r="H115"/>
  <c r="H114"/>
  <c r="H110"/>
  <c r="H94"/>
  <c r="H93"/>
  <c r="H91"/>
  <c r="H90"/>
  <c r="H86"/>
  <c r="H87"/>
  <c r="H88"/>
  <c r="H89"/>
  <c r="H85"/>
  <c r="H79"/>
  <c r="H78"/>
  <c r="H75"/>
  <c r="H74"/>
  <c r="H67"/>
  <c r="H66"/>
  <c r="H65"/>
  <c r="H64"/>
  <c r="H62"/>
  <c r="H61"/>
  <c r="H60"/>
  <c r="H59"/>
  <c r="H49"/>
  <c r="H48"/>
  <c r="H47"/>
  <c r="H46"/>
  <c r="H42"/>
  <c r="H41"/>
  <c r="H40"/>
  <c r="H39"/>
  <c r="H38"/>
  <c r="H31"/>
  <c r="H30"/>
  <c r="H29"/>
  <c r="H28"/>
  <c r="H21"/>
  <c r="H22"/>
  <c r="H23"/>
  <c r="H24"/>
  <c r="H34" l="1"/>
  <c r="H427"/>
  <c r="H419" s="1"/>
  <c r="C37" i="3" s="1"/>
  <c r="H326" i="1"/>
  <c r="H122"/>
  <c r="H43"/>
  <c r="G303"/>
  <c r="H303" s="1"/>
  <c r="F286"/>
  <c r="H286" s="1"/>
  <c r="O37" i="3" l="1"/>
  <c r="G37"/>
  <c r="E37"/>
  <c r="Q37"/>
  <c r="I37"/>
  <c r="M37"/>
  <c r="S37"/>
  <c r="K37"/>
  <c r="H57" i="1"/>
  <c r="H56"/>
  <c r="H55"/>
  <c r="H54"/>
  <c r="H390"/>
  <c r="H400"/>
  <c r="H77"/>
  <c r="H387"/>
  <c r="F284"/>
  <c r="H284" s="1"/>
  <c r="F194"/>
  <c r="H194" s="1"/>
  <c r="F192"/>
  <c r="H192" s="1"/>
  <c r="F109"/>
  <c r="H109" s="1"/>
  <c r="F108"/>
  <c r="H108" s="1"/>
  <c r="F359"/>
  <c r="H359" s="1"/>
  <c r="F106"/>
  <c r="H106" s="1"/>
  <c r="F126"/>
  <c r="F161"/>
  <c r="H161" s="1"/>
  <c r="F158"/>
  <c r="F358"/>
  <c r="H358" s="1"/>
  <c r="F357"/>
  <c r="H357" s="1"/>
  <c r="F139"/>
  <c r="H139" s="1"/>
  <c r="H142"/>
  <c r="F140"/>
  <c r="H140" s="1"/>
  <c r="F131"/>
  <c r="H131" s="1"/>
  <c r="F130"/>
  <c r="H130" s="1"/>
  <c r="F105"/>
  <c r="H105" s="1"/>
  <c r="F104"/>
  <c r="H104" s="1"/>
  <c r="F103"/>
  <c r="H103" s="1"/>
  <c r="F102"/>
  <c r="H102" s="1"/>
  <c r="F101"/>
  <c r="H101" s="1"/>
  <c r="F99"/>
  <c r="H99" s="1"/>
  <c r="F98"/>
  <c r="H98" s="1"/>
  <c r="F97"/>
  <c r="H97" s="1"/>
  <c r="F96"/>
  <c r="H96" s="1"/>
  <c r="F80"/>
  <c r="H80" s="1"/>
  <c r="F69"/>
  <c r="H69" s="1"/>
  <c r="F45"/>
  <c r="H45" s="1"/>
  <c r="H50" s="1"/>
  <c r="F20"/>
  <c r="H20" s="1"/>
  <c r="H111" l="1"/>
  <c r="H398"/>
  <c r="H397"/>
  <c r="F160"/>
  <c r="H160" s="1"/>
  <c r="H158"/>
  <c r="F129"/>
  <c r="H129" s="1"/>
  <c r="H126"/>
  <c r="F389"/>
  <c r="H389" s="1"/>
  <c r="H388"/>
  <c r="H264"/>
  <c r="H360"/>
  <c r="H409"/>
  <c r="F127"/>
  <c r="F135"/>
  <c r="H135" s="1"/>
  <c r="C36" i="3" l="1"/>
  <c r="S36" s="1"/>
  <c r="F125" i="1"/>
  <c r="H125" s="1"/>
  <c r="H127"/>
  <c r="H117"/>
  <c r="H27"/>
  <c r="C17" i="3" s="1"/>
  <c r="O17" s="1"/>
  <c r="H25" i="1"/>
  <c r="H19" s="1"/>
  <c r="C16" i="3" s="1"/>
  <c r="S16" s="1"/>
  <c r="H119" i="1"/>
  <c r="C23" i="3" s="1"/>
  <c r="H354" i="1"/>
  <c r="F430"/>
  <c r="H70"/>
  <c r="H52" s="1"/>
  <c r="C19" i="3" s="1"/>
  <c r="F136" i="1"/>
  <c r="H136" s="1"/>
  <c r="H146" s="1"/>
  <c r="H155"/>
  <c r="H148" s="1"/>
  <c r="C26" i="3" s="1"/>
  <c r="H36" i="1"/>
  <c r="C18" i="3" s="1"/>
  <c r="H81" i="1"/>
  <c r="H371"/>
  <c r="H362" s="1"/>
  <c r="C33" i="3" s="1"/>
  <c r="H382" i="1"/>
  <c r="H373" s="1"/>
  <c r="C34" i="3" s="1"/>
  <c r="H408" i="1"/>
  <c r="H385" s="1"/>
  <c r="C35" i="3" s="1"/>
  <c r="H308" i="1"/>
  <c r="H266" s="1"/>
  <c r="C29" i="3" s="1"/>
  <c r="H165" i="1"/>
  <c r="C28" i="3" s="1"/>
  <c r="S28" s="1"/>
  <c r="H163" i="1"/>
  <c r="H157" s="1"/>
  <c r="C27" i="3" s="1"/>
  <c r="H83" i="1"/>
  <c r="C21" i="3" s="1"/>
  <c r="S35" l="1"/>
  <c r="Q35"/>
  <c r="O35"/>
  <c r="K34"/>
  <c r="S34"/>
  <c r="G34"/>
  <c r="I34"/>
  <c r="M33"/>
  <c r="G33"/>
  <c r="O33"/>
  <c r="S29"/>
  <c r="E29"/>
  <c r="G29"/>
  <c r="S21"/>
  <c r="Q21"/>
  <c r="M21"/>
  <c r="O21"/>
  <c r="K21"/>
  <c r="E16"/>
  <c r="G16"/>
  <c r="I17"/>
  <c r="E17"/>
  <c r="G17"/>
  <c r="K19"/>
  <c r="I19"/>
  <c r="O19"/>
  <c r="M19"/>
  <c r="G19"/>
  <c r="M23"/>
  <c r="K23"/>
  <c r="I23"/>
  <c r="S27"/>
  <c r="K27"/>
  <c r="Q27"/>
  <c r="O27"/>
  <c r="I27"/>
  <c r="M27"/>
  <c r="M28"/>
  <c r="O28"/>
  <c r="Q28"/>
  <c r="O26"/>
  <c r="Q26"/>
  <c r="M29"/>
  <c r="K29"/>
  <c r="I29"/>
  <c r="I18"/>
  <c r="G18"/>
  <c r="K18"/>
  <c r="F128" i="1"/>
  <c r="H128" s="1"/>
  <c r="H132" s="1"/>
  <c r="H124" s="1"/>
  <c r="C24" i="3" s="1"/>
  <c r="O24" s="1"/>
  <c r="H430" i="1"/>
  <c r="H431" s="1"/>
  <c r="H429" s="1"/>
  <c r="C38" i="3" s="1"/>
  <c r="H113" i="1"/>
  <c r="C22" i="3" s="1"/>
  <c r="H328" i="1"/>
  <c r="C31" i="3" s="1"/>
  <c r="H72" i="1"/>
  <c r="C20" i="3" s="1"/>
  <c r="H134" i="1"/>
  <c r="C25" i="3" s="1"/>
  <c r="H310" i="1"/>
  <c r="C30" i="3" s="1"/>
  <c r="H356" i="1"/>
  <c r="C32" i="3" s="1"/>
  <c r="Q32" l="1"/>
  <c r="M32"/>
  <c r="O32"/>
  <c r="M31"/>
  <c r="S31"/>
  <c r="O30"/>
  <c r="G30"/>
  <c r="I30"/>
  <c r="K30"/>
  <c r="Q30"/>
  <c r="M30"/>
  <c r="Q25"/>
  <c r="S25"/>
  <c r="O25"/>
  <c r="K22"/>
  <c r="O22"/>
  <c r="M22"/>
  <c r="M20"/>
  <c r="K20"/>
  <c r="I20"/>
  <c r="I40" s="1"/>
  <c r="G20"/>
  <c r="K24"/>
  <c r="M24"/>
  <c r="C39"/>
  <c r="S38"/>
  <c r="E42"/>
  <c r="E43" s="1"/>
  <c r="E40"/>
  <c r="E41" s="1"/>
  <c r="O31"/>
  <c r="Q31"/>
  <c r="H433" i="1"/>
  <c r="D38" i="3" l="1"/>
  <c r="D36"/>
  <c r="D35"/>
  <c r="G42"/>
  <c r="G43" s="1"/>
  <c r="G40"/>
  <c r="G41" s="1"/>
  <c r="I41" s="1"/>
  <c r="H434" i="1"/>
  <c r="H435" s="1"/>
  <c r="K40" i="3"/>
  <c r="D28"/>
  <c r="D23"/>
  <c r="D31"/>
  <c r="D24"/>
  <c r="I42"/>
  <c r="K42"/>
  <c r="D30"/>
  <c r="D34"/>
  <c r="D32"/>
  <c r="D21"/>
  <c r="D16"/>
  <c r="D20"/>
  <c r="D37"/>
  <c r="D22"/>
  <c r="D29"/>
  <c r="D17"/>
  <c r="D19"/>
  <c r="D18"/>
  <c r="D25"/>
  <c r="D27"/>
  <c r="D33"/>
  <c r="D26"/>
  <c r="S42"/>
  <c r="S40"/>
  <c r="O40"/>
  <c r="O42"/>
  <c r="M40"/>
  <c r="M42"/>
  <c r="Q42"/>
  <c r="Q40"/>
  <c r="K41" l="1"/>
  <c r="M41" s="1"/>
  <c r="O41" s="1"/>
  <c r="Q41" s="1"/>
  <c r="S41" s="1"/>
  <c r="R42"/>
  <c r="T42"/>
  <c r="I43"/>
  <c r="K43" s="1"/>
  <c r="M43" s="1"/>
  <c r="O43" s="1"/>
  <c r="Q43" s="1"/>
  <c r="S43" s="1"/>
  <c r="L42"/>
  <c r="T40"/>
  <c r="J42"/>
  <c r="F42"/>
  <c r="F43" s="1"/>
  <c r="N42"/>
  <c r="F40"/>
  <c r="F41" s="1"/>
  <c r="J40"/>
  <c r="D39"/>
  <c r="H42"/>
  <c r="P40"/>
  <c r="L40"/>
  <c r="N40"/>
  <c r="P42"/>
  <c r="H40"/>
  <c r="R40"/>
  <c r="H41" l="1"/>
  <c r="J41" s="1"/>
  <c r="L41" s="1"/>
  <c r="N41" s="1"/>
  <c r="P41" s="1"/>
  <c r="R41" s="1"/>
  <c r="T41" s="1"/>
  <c r="H43"/>
  <c r="J43" s="1"/>
  <c r="L43" s="1"/>
  <c r="N43" s="1"/>
  <c r="P43" s="1"/>
  <c r="R43" s="1"/>
  <c r="T43" s="1"/>
</calcChain>
</file>

<file path=xl/sharedStrings.xml><?xml version="1.0" encoding="utf-8"?>
<sst xmlns="http://schemas.openxmlformats.org/spreadsheetml/2006/main" count="1544" uniqueCount="844">
  <si>
    <t>10.10</t>
  </si>
  <si>
    <t xml:space="preserve">RODAPÉS E PEITORIS </t>
  </si>
  <si>
    <t>11.1</t>
  </si>
  <si>
    <t>74111/001</t>
  </si>
  <si>
    <t xml:space="preserve">Soleira em granito cinza andorinha, L=15cm, E=2cm </t>
  </si>
  <si>
    <t>11.2</t>
  </si>
  <si>
    <t>11.4</t>
  </si>
  <si>
    <t>MERCADO</t>
  </si>
  <si>
    <t>CP</t>
  </si>
  <si>
    <t>Roda meio em madeira (largura=10cm)</t>
  </si>
  <si>
    <t xml:space="preserve">PINTURA </t>
  </si>
  <si>
    <t>12.1</t>
  </si>
  <si>
    <t xml:space="preserve">Emassamento de paredes internas e externas com massa acrílica - 02 demãos </t>
  </si>
  <si>
    <t>12.2</t>
  </si>
  <si>
    <t>12.3</t>
  </si>
  <si>
    <t>73954/002</t>
  </si>
  <si>
    <t>12.4</t>
  </si>
  <si>
    <t>12.5</t>
  </si>
  <si>
    <t>74065/001</t>
  </si>
  <si>
    <t>Pintura em esmalte sintético 02 demãos em esquadrias de madeira</t>
  </si>
  <si>
    <t>73924/002</t>
  </si>
  <si>
    <t>Pintura em esmalte sintético 02 demãos em esquadrias de ferro</t>
  </si>
  <si>
    <t>INSTALAÇÃO ELÉTRICA E ELETRÔNICA 127/220V</t>
  </si>
  <si>
    <t>13.1.1</t>
  </si>
  <si>
    <t>13.1.2</t>
  </si>
  <si>
    <t>13.1.3</t>
  </si>
  <si>
    <t>13.1.4</t>
  </si>
  <si>
    <t>13.1.5</t>
  </si>
  <si>
    <t>13.1.6</t>
  </si>
  <si>
    <t>Condutor de cobre unipolar, isolação em PVC/70ºC, camada de proteção em PVC, não propagador de chamas, classe de tensão 750V, encordoamento classe 5, flexível, com as seguintes seções nominais:</t>
  </si>
  <si>
    <t>73860/008</t>
  </si>
  <si>
    <t>73860/009</t>
  </si>
  <si>
    <t>73860/010</t>
  </si>
  <si>
    <t>13.2</t>
  </si>
  <si>
    <t>INSTALAÇÕES DE REDE ESTRUTURADA</t>
  </si>
  <si>
    <t>13.2.1</t>
  </si>
  <si>
    <t xml:space="preserve">un </t>
  </si>
  <si>
    <t xml:space="preserve">Guia de Cabos Frontal, fechado </t>
  </si>
  <si>
    <t>Guia de Cabos Traseiro</t>
  </si>
  <si>
    <t xml:space="preserve">Guia de Cabos Vertical, fechado </t>
  </si>
  <si>
    <t xml:space="preserve">Guia de Cabos Superior, fechado </t>
  </si>
  <si>
    <t>13.2.2</t>
  </si>
  <si>
    <t>13.2.3</t>
  </si>
  <si>
    <t>13.2.4</t>
  </si>
  <si>
    <t>Tomada modular RJ-45 Categoria 6</t>
  </si>
  <si>
    <t>Conector de TV Tipo F (Coaxial)</t>
  </si>
  <si>
    <t>13.2.5</t>
  </si>
  <si>
    <t>14.1</t>
  </si>
  <si>
    <t>TUBULAÇÕES E CONEXÕES DE PVC RÍGIDO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</si>
  <si>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</si>
  <si>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</si>
  <si>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</si>
  <si>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</si>
  <si>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</si>
  <si>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</si>
  <si>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</si>
  <si>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</si>
  <si>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</si>
  <si>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</si>
  <si>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</si>
  <si>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</si>
  <si>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</si>
  <si>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</si>
  <si>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</si>
  <si>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</si>
  <si>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</si>
  <si>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14.1.19</t>
  </si>
  <si>
    <t>14.1.20</t>
  </si>
  <si>
    <t>14.2</t>
  </si>
  <si>
    <t>14.2.1</t>
  </si>
  <si>
    <t>14.2.2</t>
  </si>
  <si>
    <t>14.3</t>
  </si>
  <si>
    <t>DRENAGEM DE ÁGUAS PLUVIAIS</t>
  </si>
  <si>
    <t>14.3.1</t>
  </si>
  <si>
    <t>74165/004</t>
  </si>
  <si>
    <t>14.3.2</t>
  </si>
  <si>
    <t>74168/001</t>
  </si>
  <si>
    <t>ACESSÓRIOS</t>
  </si>
  <si>
    <t>Ralo hemisférico (formato abacaxi) de ferro fundido, Ø100mm</t>
  </si>
  <si>
    <t>Caixa de inspeção em alvenaria com fundo em concreto, 60x60cm</t>
  </si>
  <si>
    <t>Tampa de concreto 60x60cm para caixa de inspeção</t>
  </si>
  <si>
    <t>Caixa de ralo em alvenaria com fundo em concreto, 40x40cm</t>
  </si>
  <si>
    <t>Caixa de brita 40x40cm</t>
  </si>
  <si>
    <t>Tampa de concreto Ø60cm para poço de visita</t>
  </si>
  <si>
    <t>16.1.1</t>
  </si>
  <si>
    <t>16.1.2</t>
  </si>
  <si>
    <t>16.1.3</t>
  </si>
  <si>
    <t>74165/003</t>
  </si>
  <si>
    <t>16.1.4</t>
  </si>
  <si>
    <t>74165/002</t>
  </si>
  <si>
    <t>16.1.5</t>
  </si>
  <si>
    <t>74165/001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</si>
  <si>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</si>
  <si>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</si>
  <si>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</si>
  <si>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</si>
  <si>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</si>
  <si>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</si>
  <si>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</si>
  <si>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</si>
  <si>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</si>
  <si>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</si>
  <si>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</si>
  <si>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</si>
  <si>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</si>
  <si>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</si>
  <si>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</si>
  <si>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</si>
  <si>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</si>
  <si>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</si>
  <si>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16.1.25</t>
  </si>
  <si>
    <t>17.1</t>
  </si>
  <si>
    <t xml:space="preserve">LOUÇAS E METAIS </t>
  </si>
  <si>
    <t>74193/001</t>
  </si>
  <si>
    <t>74113/001</t>
  </si>
  <si>
    <t>73949/001</t>
  </si>
  <si>
    <t>Torneira de bóia, diâmetro 25mm</t>
  </si>
  <si>
    <t>Tubo de descarga VDE, série normal, diâmetro 38 mm</t>
  </si>
  <si>
    <t>Caixa em alvenaria 100x160 cm para bombas</t>
  </si>
  <si>
    <t>73947/012</t>
  </si>
  <si>
    <t>19.1</t>
  </si>
  <si>
    <t>20.1</t>
  </si>
  <si>
    <t>SERVIÇOS DIVERSOS</t>
  </si>
  <si>
    <t>21.1</t>
  </si>
  <si>
    <t>SERVIÇOS FINAIS</t>
  </si>
  <si>
    <t>Limpeza final da obra</t>
  </si>
  <si>
    <t xml:space="preserve">EDIF C - Edificação principal do Proinfância C </t>
  </si>
  <si>
    <t>74071/002</t>
  </si>
  <si>
    <t>6.5</t>
  </si>
  <si>
    <t>VIDROS</t>
  </si>
  <si>
    <t>6.5.1</t>
  </si>
  <si>
    <t>Chapisco de aderência em lajes prémoldadas, platibanda e calhas</t>
  </si>
  <si>
    <t xml:space="preserve">Reboco tipo paulista para lajes, platibanda e calhas - espessura 2,0 cm </t>
  </si>
  <si>
    <t xml:space="preserve">Camada regularizadora e=3cm </t>
  </si>
  <si>
    <t>Peitoril em granito cinza, largura=17,00cm espessura variável e pingadeira</t>
  </si>
  <si>
    <t>11.3</t>
  </si>
  <si>
    <t>13.1</t>
  </si>
  <si>
    <t>CENTRO DE DISTRIBUIÇÃO</t>
  </si>
  <si>
    <t>ELETRODUTOS E ACESSÓRIOS</t>
  </si>
  <si>
    <t>Eletroduto PVC flexível corrugado reforçado, Ø25mm (DN 3/4"), inclusive curvas</t>
  </si>
  <si>
    <t>13.3</t>
  </si>
  <si>
    <t>CABOS E FIOS (CONDUTORES)</t>
  </si>
  <si>
    <t>13.3.1</t>
  </si>
  <si>
    <t>13.3.2</t>
  </si>
  <si>
    <t>#2,5 mm²</t>
  </si>
  <si>
    <t>13.3.3</t>
  </si>
  <si>
    <t>#4 mm²</t>
  </si>
  <si>
    <t>13.3.4</t>
  </si>
  <si>
    <t>#6 mm²</t>
  </si>
  <si>
    <t>13.3.5</t>
  </si>
  <si>
    <t>74172/001</t>
  </si>
  <si>
    <t>#10 mm²</t>
  </si>
  <si>
    <t>73860/022</t>
  </si>
  <si>
    <t>#35 mm²</t>
  </si>
  <si>
    <t>13.4</t>
  </si>
  <si>
    <t>ILUMINAÇÃO E TOMADAS</t>
  </si>
  <si>
    <t>13.4.1</t>
  </si>
  <si>
    <t>13.4.2</t>
  </si>
  <si>
    <t>13.4.3</t>
  </si>
  <si>
    <t>13.4.4</t>
  </si>
  <si>
    <t>13.4.5</t>
  </si>
  <si>
    <t>13.4.6</t>
  </si>
  <si>
    <t>73953/006</t>
  </si>
  <si>
    <t>Luminárias 2x32W completa</t>
  </si>
  <si>
    <t>13.4.7</t>
  </si>
  <si>
    <t>73953/002</t>
  </si>
  <si>
    <t>13.4.8</t>
  </si>
  <si>
    <t>Luminária de piso</t>
  </si>
  <si>
    <t>13.4.9</t>
  </si>
  <si>
    <t>Projetor com lâmpada de vapor metálico 150W</t>
  </si>
  <si>
    <t>13.4.10</t>
  </si>
  <si>
    <t>13.4.11</t>
  </si>
  <si>
    <t>74094/001</t>
  </si>
  <si>
    <t>Arandelas 60W</t>
  </si>
  <si>
    <t>13.4.12</t>
  </si>
  <si>
    <t>13.4.13</t>
  </si>
  <si>
    <t>Caixa de passagem 4x2" para interruptor e tomada</t>
  </si>
  <si>
    <t>13.4.14</t>
  </si>
  <si>
    <t>Caixa de passagem de ferro esmaltada octogonal 4x4"</t>
  </si>
  <si>
    <t>13.5</t>
  </si>
  <si>
    <t>13.5.1</t>
  </si>
  <si>
    <t>EQUIPAMENTOS PASSIVOS</t>
  </si>
  <si>
    <t>13.5.1.1</t>
  </si>
  <si>
    <t>13.5.1.2</t>
  </si>
  <si>
    <t>Switch de 24 portas</t>
  </si>
  <si>
    <t>13.5.1.3</t>
  </si>
  <si>
    <t>Bloco 110 para rack 19” 100 pares</t>
  </si>
  <si>
    <t>13.5.1.4</t>
  </si>
  <si>
    <t>13.5.1.5</t>
  </si>
  <si>
    <t>13.5.1.7</t>
  </si>
  <si>
    <t>13.5.1.8</t>
  </si>
  <si>
    <t>13.5.2</t>
  </si>
  <si>
    <t>CABOS EM PAR TRANÇADOS</t>
  </si>
  <si>
    <t>13.5.2.1</t>
  </si>
  <si>
    <t>Cabo coaxial</t>
  </si>
  <si>
    <t>13.5.3</t>
  </si>
  <si>
    <t>CABOS DE CONEXÃO</t>
  </si>
  <si>
    <t>13.5.3.1</t>
  </si>
  <si>
    <t>13.5.4</t>
  </si>
  <si>
    <t>TOMADAS</t>
  </si>
  <si>
    <t>13.5.4.1</t>
  </si>
  <si>
    <t>13.5.4.2</t>
  </si>
  <si>
    <t>13.5.5</t>
  </si>
  <si>
    <t>CAIXAS E ACESSÓRIOS</t>
  </si>
  <si>
    <t>13.5.5.1</t>
  </si>
  <si>
    <t>Caixa subterrânea em alvenaria, tipo R1,60x35x50cm, com tampão em ferro fundido, conforme detalhe de projeto</t>
  </si>
  <si>
    <t>13.5.5.2</t>
  </si>
  <si>
    <t>13.5.5.3</t>
  </si>
  <si>
    <t>13.5.5.4</t>
  </si>
  <si>
    <t>13.5.6</t>
  </si>
  <si>
    <t>13.5.6.1</t>
  </si>
  <si>
    <t>13.5.6.2</t>
  </si>
  <si>
    <t xml:space="preserve">INSTALAÇÃO HIDRÁULICA </t>
  </si>
  <si>
    <t>75030/001</t>
  </si>
  <si>
    <t>75030/004</t>
  </si>
  <si>
    <t>75030/006</t>
  </si>
  <si>
    <t>Válvula de descarga p/ vaso sanitário de 1.1/2"</t>
  </si>
  <si>
    <t>74058/001</t>
  </si>
  <si>
    <t>TUBULAÇÕES E CONEXÕES DE FERRO  GALVANIZADO</t>
  </si>
  <si>
    <t>Tubo FG roscável, diâmetro 1.1/2" (50 mm), inclusive conexões</t>
  </si>
  <si>
    <t>Tubo FG roscável, diâmetro 1.1/4" (32 mm), inclusive conexões</t>
  </si>
  <si>
    <t>TUBULAÇÕES E CONEXÕES DE PVC</t>
  </si>
  <si>
    <t>14.3.1.1</t>
  </si>
  <si>
    <t>74168/002</t>
  </si>
  <si>
    <t>Tubo de PVC esgoto série R, ponta e bolsa com anel de borracha, Ø100mm, inclusive conexões</t>
  </si>
  <si>
    <t>14.3.1.2</t>
  </si>
  <si>
    <t>Tubo de PVC esgoto, tipo Vinilfort ou equivalente, ponta e bolsa com junta elástica integrada, Ø150mm, inclusive conexões</t>
  </si>
  <si>
    <t>14.3.1.3</t>
  </si>
  <si>
    <t>Tubo de PVC esgoto, tipo Vinilfort ou equivalente, ponta e bolsa com junta elástica integrada, Ø200mm, inclusive conexões</t>
  </si>
  <si>
    <t>14.3.2.1</t>
  </si>
  <si>
    <t>14.3.2.2</t>
  </si>
  <si>
    <t>74104/001</t>
  </si>
  <si>
    <t>14.3.2.3</t>
  </si>
  <si>
    <t>14.3.2.4</t>
  </si>
  <si>
    <t>14.3.2.5</t>
  </si>
  <si>
    <t>Grelha de ferro fundido 40x40cm, tipo leve, para caixa de ralo/brita</t>
  </si>
  <si>
    <t>14.3.2.6</t>
  </si>
  <si>
    <t>14.3.2.7</t>
  </si>
  <si>
    <t>Poço de visita em alvenaria, fundo em concreto, 110x110cm</t>
  </si>
  <si>
    <t>14.3.2.8</t>
  </si>
  <si>
    <t>14.3.2.9</t>
  </si>
  <si>
    <t>Calha de piso em PVC DN 130, com grelha (solários)</t>
  </si>
  <si>
    <t xml:space="preserve">INSTALAÇÃO SANITÁRIA </t>
  </si>
  <si>
    <t>15.1</t>
  </si>
  <si>
    <t>15.2</t>
  </si>
  <si>
    <t>15.3</t>
  </si>
  <si>
    <t>15.4</t>
  </si>
  <si>
    <t>15.5</t>
  </si>
  <si>
    <t>15.6</t>
  </si>
  <si>
    <t>Caixa Sifonada 100x100x50mm</t>
  </si>
  <si>
    <t>15.7</t>
  </si>
  <si>
    <t xml:space="preserve">Caixa Sifonada 150x185x75mm </t>
  </si>
  <si>
    <t>15.8</t>
  </si>
  <si>
    <t>15.9</t>
  </si>
  <si>
    <t>Ralo Sifonado Cônico Branco 100x40mm</t>
  </si>
  <si>
    <t>15.10</t>
  </si>
  <si>
    <t>15.11</t>
  </si>
  <si>
    <t>Terminal de Ventilação Série Normal 50mm</t>
  </si>
  <si>
    <t>15.12</t>
  </si>
  <si>
    <t>Terminal de Ventilação Série Normal 75mm</t>
  </si>
  <si>
    <t>15.13</t>
  </si>
  <si>
    <t>Tubo de PVC Série Normal 100mm, fornec. e instalação, inclusive conexões</t>
  </si>
  <si>
    <t>15.14</t>
  </si>
  <si>
    <t>Tubo de PVC Série Normal 40mm, fornec. e instalação, inclusive conexões</t>
  </si>
  <si>
    <t>15.15</t>
  </si>
  <si>
    <t>Tubo de PVC Série Normal 50mm , fornec. e instalação, inclusive conexões</t>
  </si>
  <si>
    <t>Tubo de PVC Série Normal 75mm , fornec. e instalação, inclusive conexões</t>
  </si>
  <si>
    <t>Tubo de PVC Série Reforçada 150mm, fornec. e instalação, inclusive conexões</t>
  </si>
  <si>
    <t>Caixa de inspeção em alvenaria de tijolo medindo 900x900x600mm , com tampão em ferro fundido</t>
  </si>
  <si>
    <t>Caixa de gordura Especial, em alvenaria de tijolo, medindo 1100x1100x1200mm, com tampão em ferro fundido</t>
  </si>
  <si>
    <t>73963/008</t>
  </si>
  <si>
    <t>Poço de visita em alvenaria de tijolo medido 1400x1400x1640mm, com tampão em ferro fundido</t>
  </si>
  <si>
    <t>Conjunto moto bomba centrifuga CV 3/4, vazão de 5,0 m3/h e Hman = 15mca - Modelo Thebe TH-16 ou equivalente</t>
  </si>
  <si>
    <t>73949/009</t>
  </si>
  <si>
    <t>74227/001</t>
  </si>
  <si>
    <t>73949/002</t>
  </si>
  <si>
    <t>74146/001</t>
  </si>
  <si>
    <t>73911/001</t>
  </si>
  <si>
    <t>un.</t>
  </si>
  <si>
    <t xml:space="preserve">BANCADAS </t>
  </si>
  <si>
    <t>74126/001</t>
  </si>
  <si>
    <t>Bancada em granito cinza andorinha - espessura 2cm, conforme projeto</t>
  </si>
  <si>
    <t>17.2</t>
  </si>
  <si>
    <t>Prateleira em granito cinza andorinha - espessura 2cm, conforme projeto</t>
  </si>
  <si>
    <t>17.3</t>
  </si>
  <si>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</si>
  <si>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</si>
  <si>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</si>
  <si>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</si>
  <si>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</si>
  <si>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</si>
  <si>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</si>
  <si>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</si>
  <si>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</si>
  <si>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</si>
  <si>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</si>
  <si>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</si>
  <si>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</si>
  <si>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</si>
  <si>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</si>
  <si>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</si>
  <si>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</si>
  <si>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</si>
  <si>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</si>
  <si>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 xml:space="preserve">MOVIMENTO DE TERRAS </t>
  </si>
  <si>
    <t>5.1.1</t>
  </si>
  <si>
    <t>Aterro apiloado em camadas de 0,20 m com material argilo - arenoso (entre baldrames)</t>
  </si>
  <si>
    <t>5.1.2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</si>
  <si>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</si>
  <si>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</si>
  <si>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</si>
  <si>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</si>
  <si>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5.2.1</t>
  </si>
  <si>
    <t>73907/006</t>
  </si>
  <si>
    <t>5.2.2</t>
  </si>
  <si>
    <t>5.2.3</t>
  </si>
  <si>
    <t>74254/002</t>
  </si>
  <si>
    <t>kg</t>
  </si>
  <si>
    <t>73942/002</t>
  </si>
  <si>
    <t>74137/004</t>
  </si>
  <si>
    <t>6.1</t>
  </si>
  <si>
    <t>6.1.1</t>
  </si>
  <si>
    <t>6.1.2</t>
  </si>
  <si>
    <t>6.1.3</t>
  </si>
  <si>
    <t>6.1.4</t>
  </si>
  <si>
    <t>3.1.1</t>
  </si>
  <si>
    <t>m</t>
  </si>
  <si>
    <t>3.1.2</t>
  </si>
  <si>
    <t>3.2</t>
  </si>
  <si>
    <t>3.2.1</t>
  </si>
  <si>
    <t>3.2.2</t>
  </si>
  <si>
    <t>7.1</t>
  </si>
  <si>
    <t>7.2</t>
  </si>
  <si>
    <t>7.3</t>
  </si>
  <si>
    <t>8.1</t>
  </si>
  <si>
    <t>8.2</t>
  </si>
  <si>
    <t xml:space="preserve">SERVIÇOS PRELIMINARES </t>
  </si>
  <si>
    <t>74209/001</t>
  </si>
  <si>
    <t>Placa da obra - padrão Governo Federal</t>
  </si>
  <si>
    <t xml:space="preserve"> m²</t>
  </si>
  <si>
    <t>1.2</t>
  </si>
  <si>
    <t xml:space="preserve">Instalação provisória de água </t>
  </si>
  <si>
    <t>1.3</t>
  </si>
  <si>
    <t>73960/001</t>
  </si>
  <si>
    <t xml:space="preserve">Instalação provisória de energia elétrica em baixa tensão </t>
  </si>
  <si>
    <t>1.4</t>
  </si>
  <si>
    <t>1.5</t>
  </si>
  <si>
    <t>73805/001</t>
  </si>
  <si>
    <t>Barracões provisórios (depósito, escritório, vestiário e refeitório) com piso cimentado</t>
  </si>
  <si>
    <t>74077/001</t>
  </si>
  <si>
    <t xml:space="preserve">Locação da obra (execução de gabarito) </t>
  </si>
  <si>
    <t>2.2</t>
  </si>
  <si>
    <t>2.3</t>
  </si>
  <si>
    <t>2.4</t>
  </si>
  <si>
    <t xml:space="preserve">INFRA-ESTRUTURA: FUNDAÇÕES </t>
  </si>
  <si>
    <t xml:space="preserve">SUPERESTRUTURA </t>
  </si>
  <si>
    <t>4.1.1</t>
  </si>
  <si>
    <t>4.2.1</t>
  </si>
  <si>
    <t>4.2.2</t>
  </si>
  <si>
    <t>4.2.3</t>
  </si>
  <si>
    <t>CONCRETO ARMADO PARA VERGAS</t>
  </si>
  <si>
    <t>4.3.1</t>
  </si>
  <si>
    <t>Verga pré-moldada em concreto armado fck 15Mpa - 10x10cm, conforme projeto.</t>
  </si>
  <si>
    <t xml:space="preserve">PAREDES E PAINEIS </t>
  </si>
  <si>
    <t>ELEMENTOS VAZADOS</t>
  </si>
  <si>
    <t>ORSE</t>
  </si>
  <si>
    <t>Cobogó de concreto (elemento vazado)  - (10x15x15cm) assentado com argamassa traço 1:4 (cimento, areia)</t>
  </si>
  <si>
    <t>Cobogó de concreto (elemento vazado)  - (10x40x40cm) assentado com argamassa traço 1:4 (cimento, areia)</t>
  </si>
  <si>
    <t>ALVENARIA DE VEDAÇÃO</t>
  </si>
  <si>
    <t>73982/001</t>
  </si>
  <si>
    <t>73987/001</t>
  </si>
  <si>
    <t>Divisória de banheiros e sanitários em granito com espessura de 2cm polido assentado com argamassa traço 1:4</t>
  </si>
  <si>
    <t xml:space="preserve">ESQUADRIAS </t>
  </si>
  <si>
    <t>73910/006</t>
  </si>
  <si>
    <t>und</t>
  </si>
  <si>
    <t>6.1.5</t>
  </si>
  <si>
    <t>6.1.6</t>
  </si>
  <si>
    <t>74139/002</t>
  </si>
  <si>
    <t>6.1.7</t>
  </si>
  <si>
    <t>6.2</t>
  </si>
  <si>
    <t>JANELAS DE ALUMÍNIO</t>
  </si>
  <si>
    <t>6.3.1</t>
  </si>
  <si>
    <t>6.3.2</t>
  </si>
  <si>
    <t>6.3.3</t>
  </si>
  <si>
    <t>6.3.4</t>
  </si>
  <si>
    <t xml:space="preserve">COBERTURA </t>
  </si>
  <si>
    <t>73931/003</t>
  </si>
  <si>
    <t xml:space="preserve">Estrutura de Madeira aparelhada com tesoura vão de 3,0 a 7,0 m para telha cerâmica </t>
  </si>
  <si>
    <t>73938/004</t>
  </si>
  <si>
    <t xml:space="preserve">Cobertura em telha cerâmica tipo capa e canal </t>
  </si>
  <si>
    <t>73938/007</t>
  </si>
  <si>
    <t xml:space="preserve">Cumeeira com telha cerâmica emboçada com argamassa traço 1:2:8 </t>
  </si>
  <si>
    <t xml:space="preserve">IMPERMEABILIZAÇÀO </t>
  </si>
  <si>
    <t>74106/001</t>
  </si>
  <si>
    <t xml:space="preserve">Impermeabilização com tinta betuminosa em fundações, baldrames </t>
  </si>
  <si>
    <t>Impermeabilização de calhas de concreto com mastique betuminoso a frio</t>
  </si>
  <si>
    <t xml:space="preserve">REVESTIMENTOS </t>
  </si>
  <si>
    <t>9.1</t>
  </si>
  <si>
    <t>9.2</t>
  </si>
  <si>
    <t>9.3</t>
  </si>
  <si>
    <t>73927/005</t>
  </si>
  <si>
    <t xml:space="preserve">Emboço para paredes internas e externas traço 1:6 - preparo manual - espessura 2,0 cm </t>
  </si>
  <si>
    <t>9.4</t>
  </si>
  <si>
    <t>74201/001</t>
  </si>
  <si>
    <t xml:space="preserve">Reboco tipo paulista para paredes internas, externas, pórticos, vigas e pérgolas  - espessura 2,0 cm </t>
  </si>
  <si>
    <t>9.5</t>
  </si>
  <si>
    <t>9.6</t>
  </si>
  <si>
    <t>73946/001</t>
  </si>
  <si>
    <t xml:space="preserve">Revestimento cerâmico de paredes PEI IV- cerâmica 30 x 40 cm - incl. rejunte - conforme projeto </t>
  </si>
  <si>
    <t>9.7</t>
  </si>
  <si>
    <t>73912/002</t>
  </si>
  <si>
    <t>Revestimento cerâmico de paredes PEI IV - cerâmica 10 x 10 cm - incl. rejunte - conforme projeto</t>
  </si>
  <si>
    <t xml:space="preserve">PAVIMENTAÇÃO </t>
  </si>
  <si>
    <t>10.1</t>
  </si>
  <si>
    <t>10.2</t>
  </si>
  <si>
    <t>73977/001</t>
  </si>
  <si>
    <t>10.3</t>
  </si>
  <si>
    <t>Piso de alta resistência em massa granilítica, inclusive polimento e enceramento</t>
  </si>
  <si>
    <t>10.4</t>
  </si>
  <si>
    <t xml:space="preserve">Piso cerâmico esmaltado PEI IV - 40 x 40 cm - incl. rejunte - conforme projeto </t>
  </si>
  <si>
    <t>10.5</t>
  </si>
  <si>
    <t>10.6</t>
  </si>
  <si>
    <t>Piso de cimento desempenado com juntas de dilatação</t>
  </si>
  <si>
    <t>10.7</t>
  </si>
  <si>
    <t>73932/001</t>
  </si>
  <si>
    <t>3.1.3</t>
  </si>
  <si>
    <t>3.1.5</t>
  </si>
  <si>
    <t>3.2.3</t>
  </si>
  <si>
    <t>3.2.5</t>
  </si>
  <si>
    <t>Lastro de concreto magro, e=3,0 cm-reparo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</si>
  <si>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</si>
  <si>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</si>
  <si>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</si>
  <si>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</si>
  <si>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CONCRETO ARMADO - LAJES</t>
  </si>
  <si>
    <t>Forma em chapa de madeira compensada resinada- Pilares</t>
  </si>
  <si>
    <r>
      <t>Porta de abrir em madeira 0,80x2,10m com Chapa metálica, Barra de Apoio PNE,</t>
    </r>
    <r>
      <rPr>
        <b/>
        <sz val="10"/>
        <rFont val="Arial"/>
        <family val="2"/>
      </rPr>
      <t xml:space="preserve"> PM2, </t>
    </r>
    <r>
      <rPr>
        <sz val="10"/>
        <rFont val="Arial"/>
        <family val="2"/>
      </rPr>
      <t>conforme projeto de esquadrias</t>
    </r>
  </si>
  <si>
    <r>
      <t>Porta de abrir em madeira 0,80x2,10m com Chapa metálica h=50cm, Barra de Apoio PNE e visor de vidro 20x110cm,</t>
    </r>
    <r>
      <rPr>
        <b/>
        <sz val="10"/>
        <rFont val="Arial"/>
        <family val="2"/>
      </rPr>
      <t xml:space="preserve"> PM1, </t>
    </r>
    <r>
      <rPr>
        <sz val="10"/>
        <rFont val="Arial"/>
        <family val="2"/>
      </rPr>
      <t>conforme projeto de esquadrias</t>
    </r>
  </si>
  <si>
    <r>
      <t xml:space="preserve">Janela de Alumínio, basculante 60X60cm, </t>
    </r>
    <r>
      <rPr>
        <b/>
        <sz val="10"/>
        <rFont val="Arial"/>
        <family val="2"/>
      </rPr>
      <t>J-01</t>
    </r>
    <r>
      <rPr>
        <sz val="10"/>
        <rFont val="Arial"/>
        <family val="2"/>
      </rPr>
      <t>,conforme projeto de esquadrias, inclusive ferragens</t>
    </r>
  </si>
  <si>
    <r>
      <t xml:space="preserve">Janela de Alumínio, de abrir 60X90cm, </t>
    </r>
    <r>
      <rPr>
        <b/>
        <sz val="10"/>
        <rFont val="Arial"/>
        <family val="2"/>
      </rPr>
      <t xml:space="preserve">J-02, </t>
    </r>
    <r>
      <rPr>
        <sz val="10"/>
        <rFont val="Arial"/>
        <family val="2"/>
      </rPr>
      <t>conforme projeto de esquadrias, inclusive ferragens</t>
    </r>
  </si>
  <si>
    <r>
      <t>Janela de Alumínio, de correr 120X120cm,</t>
    </r>
    <r>
      <rPr>
        <b/>
        <sz val="10"/>
        <rFont val="Arial"/>
        <family val="2"/>
      </rPr>
      <t>J-03,</t>
    </r>
    <r>
      <rPr>
        <sz val="10"/>
        <rFont val="Arial"/>
        <family val="2"/>
      </rPr>
      <t xml:space="preserve"> conforme projeto de esquadrias - Corrediça, inclusive ferragens</t>
    </r>
  </si>
  <si>
    <r>
      <t>Janela de Alumínio, de correr 180X120cm,</t>
    </r>
    <r>
      <rPr>
        <b/>
        <sz val="10"/>
        <rFont val="Arial"/>
        <family val="2"/>
      </rPr>
      <t>J-04</t>
    </r>
    <r>
      <rPr>
        <sz val="10"/>
        <rFont val="Arial"/>
        <family val="2"/>
      </rPr>
      <t xml:space="preserve"> conforme projeto de esquadrias, inclusive ferragens</t>
    </r>
  </si>
  <si>
    <r>
      <t xml:space="preserve">Janela de Alumínio, de correr 180X160cm, </t>
    </r>
    <r>
      <rPr>
        <b/>
        <sz val="10"/>
        <rFont val="Arial"/>
        <family val="2"/>
      </rPr>
      <t>J-05</t>
    </r>
    <r>
      <rPr>
        <sz val="10"/>
        <rFont val="Arial"/>
        <family val="2"/>
      </rPr>
      <t>, conforme projeto de esquadrias, inclusive ferragens</t>
    </r>
  </si>
  <si>
    <r>
      <t xml:space="preserve">Porta de abrir de 0,80x2,10m em chapa de alumínio com vidro e veneziana- </t>
    </r>
    <r>
      <rPr>
        <b/>
        <sz val="10"/>
        <rFont val="Arial"/>
        <family val="2"/>
      </rPr>
      <t>PA1</t>
    </r>
    <r>
      <rPr>
        <sz val="10"/>
        <rFont val="Arial"/>
        <family val="2"/>
      </rPr>
      <t>, conforme projeto de esquadrias, inclusive ferragens</t>
    </r>
  </si>
  <si>
    <r>
      <t xml:space="preserve">Porta de abrir de 0,80x2,10m em chapa de alumínio com veneziana- </t>
    </r>
    <r>
      <rPr>
        <b/>
        <sz val="10"/>
        <rFont val="Arial"/>
        <family val="2"/>
      </rPr>
      <t>PA2</t>
    </r>
    <r>
      <rPr>
        <sz val="10"/>
        <rFont val="Arial"/>
        <family val="2"/>
      </rPr>
      <t>, conforme projeto de esquadrias, inclusive ferragens</t>
    </r>
  </si>
  <si>
    <r>
      <t>Porta de abrir de 0,60x2,10m em chapa de alumínio com veneziana-</t>
    </r>
    <r>
      <rPr>
        <b/>
        <sz val="10"/>
        <rFont val="Arial"/>
        <family val="2"/>
      </rPr>
      <t xml:space="preserve"> PA3</t>
    </r>
    <r>
      <rPr>
        <sz val="10"/>
        <rFont val="Arial"/>
        <family val="2"/>
      </rPr>
      <t>, conforme projeto de esquadrias, inclusive ferragens</t>
    </r>
  </si>
  <si>
    <r>
      <t xml:space="preserve">Porta de abrir de 0,50x0,80m em chapa de alumínio com veneziana </t>
    </r>
    <r>
      <rPr>
        <b/>
        <sz val="10"/>
        <rFont val="Arial"/>
        <family val="2"/>
      </rPr>
      <t>PA4</t>
    </r>
    <r>
      <rPr>
        <sz val="10"/>
        <rFont val="Arial"/>
        <family val="2"/>
      </rPr>
      <t>, conforme projeto de esquadrias, inclusive ferragens</t>
    </r>
  </si>
  <si>
    <t>Portão de correr 1,20x2,15m em gradil metálico belgo ou similar, conforme projeto de esquadrias, inclusive ferragens</t>
  </si>
  <si>
    <t>Portão de correr em gradil tipo belgo ou equivalente 1,20X1,75m com trilho, conforme projeto de esquadrias, inclusive ferragens</t>
  </si>
  <si>
    <t>Portão de abrir em gradil tipo belgo ou equivalente 3,20X2,15m com trilho, conforme projeto de esquadrias, inclusive ferragens</t>
  </si>
  <si>
    <t>PORTAS EM ALUMÍNIO</t>
  </si>
  <si>
    <t>PORTAS DE MADEIRA</t>
  </si>
  <si>
    <t xml:space="preserve">Soleira em granito cinza andorinha, L=17cm, E=2cm </t>
  </si>
  <si>
    <t xml:space="preserve">Emassamento de lajes internas e externas com massa PVA - 02 demãos </t>
  </si>
  <si>
    <t xml:space="preserve">Pintura em latex PVA 02 demãos sobre lajes internas e externas </t>
  </si>
  <si>
    <t xml:space="preserve">Pintura em latex acrílico 02 demãos sobre paredes internas, externas e muros </t>
  </si>
  <si>
    <t xml:space="preserve">Chapisco de aderência em paredes internas, externas, pórticos, vigas, pérgolas e muros </t>
  </si>
  <si>
    <t>Bacia Sanitária Vogue Plus, Linha Conforto com abertura, cor Branco Gelo, código: P.51,  DECA, ou equivalente p/ de descarga, com acessórios, bolsa de borracha para ligacao, tubo pvc ligacao - fornecimento e instalacao</t>
  </si>
  <si>
    <t>Bacia Sanitária Convencional com Caixa Acoplada, código Izy P.111, DECA, ou equivalente com acessórios- fornecimento e instalação</t>
  </si>
  <si>
    <t>Ducha Higiênica com registro e derivação Izy, código 1984.C37. ACT.CR, DECA, ou equivalente</t>
  </si>
  <si>
    <t>Assento Poliéster com abertura frontal Vogue Plus, Linha Conforto, cor Branco Gelo,c código AP.52, DECA, ou equivalente</t>
  </si>
  <si>
    <t>Válvula de descarga: Base Hydra Max, código 4550.404 e acabamento Hydra Max, código 4900.C.MAX 1 ½”, acabamento cromado, DECA ou equivalente</t>
  </si>
  <si>
    <t>Assento plástico Izy, Código AP.01, DECA</t>
  </si>
  <si>
    <t>Papeleira Metálica Linha Izy, código 2020.C37, DECA ou equivalente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</si>
  <si>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</si>
  <si>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</si>
  <si>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>Lavatório Pequeno Ravena/Izy cor Branco Gelo, código: L.915, DECA, ou equivalente, sem coluna,(válvula, sifao e engate flexível cromados), exceto Torneira</t>
  </si>
  <si>
    <t>Barra de apoio, Linha conforto, código 2305.C, cor cromado, DECA ou equivalente</t>
  </si>
  <si>
    <t>Dispenser Toalha Linha Excellence, código 7007, Melhoramentos ou equivalente.</t>
  </si>
  <si>
    <t>Saboneteira Linha Excellence, código 7009, Melhoramentos ou equivalente</t>
  </si>
  <si>
    <t xml:space="preserve">Chuveiro Maxi Ducha, LORENZETTI, com Mangueira plástica/desviador para duchas elétricas, cógigo 8010-A, LORENZETTI,  ou equivalente </t>
  </si>
  <si>
    <t xml:space="preserve">Torneira elétrica Maxi Torneira, LORENZETTI com Mangueira plástica para torneira elétrica, cógigo 8010-A, LORENZETTI, ou equivalente </t>
  </si>
  <si>
    <t>Tanque Grande (40 L) cor Branco Gelo, código TQ.03, DECA, ou equivalente</t>
  </si>
  <si>
    <t>Torneira Acabamento para registro pequeno Linha Izy, código: 4900.C37.PQ, DECA ou equivalente (para chuveiros), Deca ou equivalente</t>
  </si>
  <si>
    <t>Torneira de parede de uso geral com arejador Izy, código 1155.C37, DECA, ou equivalente para jardim ou tanque, padrao alto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</si>
  <si>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</si>
  <si>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</si>
  <si>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</si>
  <si>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Torneira elétrica LorenEasy, LORENZETTI ou equivalente</t>
  </si>
  <si>
    <t>Torneira de parede de uso geral com bico para mangueira Izy, código 1153.C37, DECA, ou equivalente</t>
  </si>
  <si>
    <t>16.1.24</t>
  </si>
  <si>
    <t>Banco em granito cinza andorinha, espessura 2 cm, conforme projeto</t>
  </si>
  <si>
    <t>Grelha de aço inox para piso, l=5cm</t>
  </si>
  <si>
    <t>Eletroduto PVC flexível corrugado reforçado, Ø32mm (DN 1"), inclusive curvas</t>
  </si>
  <si>
    <t>Eletroduto PVC flexível corrugado reforçado, Ø40mm (DN 11/4"), inclusive curvas</t>
  </si>
  <si>
    <t>Eletroduto PVC flexível corrugado reforçado, Ø50mm (DN 11/2"), inclusive curvas</t>
  </si>
  <si>
    <t>Eletroduto PVC flexível corrugado reforçado, Ø60mm (DN 2"), inclusive curvas</t>
  </si>
  <si>
    <t>Eletroduto Ferro Galvanizado , Ø 1", inclusive curvas</t>
  </si>
  <si>
    <t>Eletrocalha lisa com tampa 100 x 50 mm</t>
  </si>
  <si>
    <t>Curva horizontal para eletrocalha 100 x 50 mm</t>
  </si>
  <si>
    <t>Curva vertical para eletrocalha 100 x 50 mm</t>
  </si>
  <si>
    <t>Tê horizontal para eletrocalha 100 x 50 mm</t>
  </si>
  <si>
    <t>Fechamento para eletrocalha 100 x 50 mm</t>
  </si>
  <si>
    <t>Flange para eletrocalha 100 x 50 mm</t>
  </si>
  <si>
    <t>Registro de gaveta bruto, Ø 3/4"</t>
  </si>
  <si>
    <t>Registro de gaveta bruto, Ø 1"</t>
  </si>
  <si>
    <t>Registro de gaveta bruto, Ø 2"</t>
  </si>
  <si>
    <t>Registro de gaveta bruto, Ø 2.1/2"</t>
  </si>
  <si>
    <t>Registro de gaveta com canopla, Ø 3/4"</t>
  </si>
  <si>
    <t>Registro de pressão com canopla p/ chuveiro, Ø 3/4"</t>
  </si>
  <si>
    <t>Tubo PVC soldável Ø 25 mm, inclusive conexões</t>
  </si>
  <si>
    <t>Tubo PVC soldável Ø 32 mm, inclusive conexões</t>
  </si>
  <si>
    <t>Tubo PVC soldável Ø 40 mm, inclusive conexões</t>
  </si>
  <si>
    <t>Tubo PVC soldável classe 15, Ø 50 mm, inclusive conexões</t>
  </si>
  <si>
    <t>Tubo PVC soldável classe 15, Ø 60 mm, inclusive conexões</t>
  </si>
  <si>
    <t>Tubo PVC soldável classe 15, Ø 75mm, inclusive conexões</t>
  </si>
  <si>
    <t>Caixa em alvenaria 30x30x30 cm  para Registro</t>
  </si>
  <si>
    <t>Caixa sifonada  de sabão em PVC</t>
  </si>
  <si>
    <t>Caixa de gordura sifonada em PVC</t>
  </si>
  <si>
    <t>Tubo de Ferro Galvanizado Ø 3/4", inclusive conexões</t>
  </si>
  <si>
    <t>Válvula esfera Ø 3/4" NPT 300</t>
  </si>
  <si>
    <t>Registro 1º Estágio c/ manômetro</t>
  </si>
  <si>
    <t>Registro 2º Estágio c/ manômetro</t>
  </si>
  <si>
    <t>Registro do Regulador</t>
  </si>
  <si>
    <t>Manômetro NPT 1/4, 0 a 300 Psi</t>
  </si>
  <si>
    <t>Extintor PQS - 6KG</t>
  </si>
  <si>
    <t>Extintor Gás Carbonico - 6KG</t>
  </si>
  <si>
    <t>Luminária de emergência de 31 Leds autonomia minima de 1 hora</t>
  </si>
  <si>
    <t>Marcação no Piso - 1 x 1m para hidrante</t>
  </si>
  <si>
    <t>Placa de sinalização em pvc cod 12 - (316x158) Saída de emergência</t>
  </si>
  <si>
    <t>Placa de sinalização em pvc cod 13 - (316x158) Saída de emergência</t>
  </si>
  <si>
    <t>Placa de sinalização em pvc cod 17 - (316x158) Mensagem "Saída"</t>
  </si>
  <si>
    <t>Placa de sinalização em pvc cod 23 - (300x300) Extintor de Incêndio</t>
  </si>
  <si>
    <t>Forma de madeira comum para Fundções  - reaproveitamento 5X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</si>
  <si>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</si>
  <si>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</si>
  <si>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74075/004</t>
  </si>
  <si>
    <t>Forma madeira comp. resinada 12mm p/ Estrutura corte/Montagem/Escoramento/Desforma- Lajes</t>
  </si>
  <si>
    <t>Forma madeira comp. resinada 12mm p/ Estrutura corte/Montagem/Escoramento/Desforma-  Vigas</t>
  </si>
  <si>
    <t>4.1.2</t>
  </si>
  <si>
    <t>4.1.3</t>
  </si>
  <si>
    <t>4.1.4</t>
  </si>
  <si>
    <t>4.2.4</t>
  </si>
  <si>
    <t>4.4</t>
  </si>
  <si>
    <t>4.4.1</t>
  </si>
  <si>
    <t>4.3.2</t>
  </si>
  <si>
    <t>4.3.3</t>
  </si>
  <si>
    <t>4.3.4</t>
  </si>
  <si>
    <t>Encunhamento (aperto de alvenaria) em tijolo cerâmicos maciços 5x10x20cm 1 vez (esp. 20cm), assentamento c/ argamassa traço1:6 (cimento e areia)</t>
  </si>
  <si>
    <t xml:space="preserve">Alvenaria de vedação de 1/2 vez em tijolos cerâmicos de 08 furos (dimensões nominais: 19x19x09); assentamento em argamassa no traço 1:2:8 (cimento, cal e areia) </t>
  </si>
  <si>
    <t>Alvenaria de vedação de 1 vez em tijolos cerâmicos de 08 furos (dimensões nominais: 19x19x09); assentamento em argamassa no traço 1:2:8 (cimento, cal e areia)</t>
  </si>
  <si>
    <r>
      <t xml:space="preserve">Porta de abrir- Box  em madeira Laminado 0,60x1,60m, </t>
    </r>
    <r>
      <rPr>
        <b/>
        <sz val="10"/>
        <rFont val="Arial"/>
        <family val="2"/>
      </rPr>
      <t>PM-06,</t>
    </r>
    <r>
      <rPr>
        <sz val="10"/>
        <rFont val="Arial"/>
        <family val="2"/>
      </rPr>
      <t xml:space="preserve"> incluso marco, dobradiças e tarjeta tipo LIVRE/OCUPADO, conforme projeto de esquadrias </t>
    </r>
  </si>
  <si>
    <r>
      <t xml:space="preserve">Porta de abrir- Box  em madeira Laminado 0,60x1,00m, </t>
    </r>
    <r>
      <rPr>
        <b/>
        <sz val="10"/>
        <rFont val="Arial"/>
        <family val="2"/>
      </rPr>
      <t>PM-07,</t>
    </r>
    <r>
      <rPr>
        <sz val="10"/>
        <rFont val="Arial"/>
        <family val="2"/>
      </rPr>
      <t xml:space="preserve"> incluso marco, dobradiças e tarjeta tipo LIVRE/OCUPADOconforme projeto de esquadrias </t>
    </r>
  </si>
  <si>
    <r>
      <t xml:space="preserve">Porta de abrir em madeira 0,80x2,10m com veneziana de madeira 60x50cm, </t>
    </r>
    <r>
      <rPr>
        <b/>
        <sz val="10"/>
        <rFont val="Arial"/>
        <family val="2"/>
      </rPr>
      <t>PM3</t>
    </r>
    <r>
      <rPr>
        <sz val="10"/>
        <rFont val="Arial"/>
        <family val="2"/>
      </rPr>
      <t>, incluso aduela 1A, alizar e dobradiça com aneis, conforme projeto de esquadrias</t>
    </r>
  </si>
  <si>
    <t>74070/004</t>
  </si>
  <si>
    <t>Fechadura de embutir completa, para portas internas</t>
  </si>
  <si>
    <t>74069/001</t>
  </si>
  <si>
    <t>Fechadura de embutir completa, para portas de banheiro</t>
  </si>
  <si>
    <t>6.2.1</t>
  </si>
  <si>
    <t>6.2.2</t>
  </si>
  <si>
    <t>6.3</t>
  </si>
  <si>
    <t>6.4</t>
  </si>
  <si>
    <t>6.4.1</t>
  </si>
  <si>
    <t>6.4.2</t>
  </si>
  <si>
    <t>6.4.3</t>
  </si>
  <si>
    <t>6.4.4</t>
  </si>
  <si>
    <t>6.4.5</t>
  </si>
  <si>
    <t>6.4.6</t>
  </si>
  <si>
    <t>6.5.2</t>
  </si>
  <si>
    <t>6.5.3</t>
  </si>
  <si>
    <r>
      <t>Porta de abrir em madeira 0,80x2,10m ,</t>
    </r>
    <r>
      <rPr>
        <b/>
        <sz val="10"/>
        <rFont val="Arial"/>
        <family val="2"/>
      </rPr>
      <t xml:space="preserve"> PM4,</t>
    </r>
    <r>
      <rPr>
        <sz val="10"/>
        <rFont val="Arial"/>
        <family val="2"/>
      </rPr>
      <t xml:space="preserve"> incluso aduela 1A, alizar e dobradiça com aneis,conforme projeto de esquadrias</t>
    </r>
  </si>
  <si>
    <r>
      <t xml:space="preserve">Porta de abrir em madeira 0,60x2,10m </t>
    </r>
    <r>
      <rPr>
        <b/>
        <sz val="10"/>
        <rFont val="Arial"/>
        <family val="2"/>
      </rPr>
      <t>PM5</t>
    </r>
    <r>
      <rPr>
        <sz val="10"/>
        <rFont val="Arial"/>
        <family val="2"/>
      </rPr>
      <t>, incluso aduela 1A, alizar e dobradiça com aneis,conforme projeto de esquadrias</t>
    </r>
  </si>
  <si>
    <t>Vidro temperado incolor, espessura 6mm- fornecimento e instalação</t>
  </si>
  <si>
    <t>74125/001</t>
  </si>
  <si>
    <t>Espelho cristal esp. 4mm com moldura de madeira</t>
  </si>
  <si>
    <t>Vidro liso comum incolor, espessura 6mm- fornecimento e instalação</t>
  </si>
  <si>
    <t>Tela de nylon de proteção- fixada na esquadria</t>
  </si>
  <si>
    <t>74025/001</t>
  </si>
  <si>
    <t>73764/004</t>
  </si>
  <si>
    <t>Meio -fio (GUIA) de concreto premoldado- (playgraund)</t>
  </si>
  <si>
    <t>10.8</t>
  </si>
  <si>
    <t>10.9</t>
  </si>
  <si>
    <t>74223/001</t>
  </si>
  <si>
    <t>11.5</t>
  </si>
  <si>
    <t>11.6</t>
  </si>
  <si>
    <t>Peitoril (chapim) em concreto premoldado, largura=30cm espessura 5cm e pingadeira</t>
  </si>
  <si>
    <t>Peitoril (chapim) em concreto premoldado, largura=45cm espessura 5cm e pingadeira- Portico</t>
  </si>
  <si>
    <t>74134/002</t>
  </si>
  <si>
    <t>73955/002</t>
  </si>
  <si>
    <t>73750/001</t>
  </si>
  <si>
    <t>13.5.2.4</t>
  </si>
  <si>
    <t>13.5.6.3</t>
  </si>
  <si>
    <t>13.5.6.4</t>
  </si>
  <si>
    <t>13.5.6.5</t>
  </si>
  <si>
    <t>13.5.6.6</t>
  </si>
  <si>
    <t>13.5.6.7</t>
  </si>
  <si>
    <t>13.5.6.8</t>
  </si>
  <si>
    <t>14.1.1</t>
  </si>
  <si>
    <t>14.3.1.4</t>
  </si>
  <si>
    <t>INSTALAÇÃO DE GÁS - GLP</t>
  </si>
  <si>
    <t>PROTEÇÃO CONTRA INCÊNDIO E PÂNICO- EXTINTORES</t>
  </si>
  <si>
    <t>73775/001</t>
  </si>
  <si>
    <t>74225/001</t>
  </si>
  <si>
    <t>74185/001</t>
  </si>
  <si>
    <t>74181/001</t>
  </si>
  <si>
    <t>74180/001</t>
  </si>
  <si>
    <t>74176/001</t>
  </si>
  <si>
    <t>73975/001</t>
  </si>
  <si>
    <t>73795/010</t>
  </si>
  <si>
    <t>Válvula de retenção horizontal Ø 11/4"</t>
  </si>
  <si>
    <t>75030/002</t>
  </si>
  <si>
    <t>75030/003</t>
  </si>
  <si>
    <t>75030/005</t>
  </si>
  <si>
    <t>73816/001</t>
  </si>
  <si>
    <t>Execução de dreno c/ Tubo de PVC corrugado  Ø75mm</t>
  </si>
  <si>
    <t>73976/003</t>
  </si>
  <si>
    <t>ÁREAS EXTERNAS</t>
  </si>
  <si>
    <t>Alvenaria de vedação de 1/2 vez em tijolos cerâmicos de 08 furos (dimensões nominais: 19x19x09); assentamento em argamassa no traço 1:2:8 (cimento, cal e areia) - MURO</t>
  </si>
  <si>
    <t>MURO</t>
  </si>
  <si>
    <t>FERRAGENS E ACESSÓRIOS</t>
  </si>
  <si>
    <t>PAVIMENTAÇÃO EXTERNA</t>
  </si>
  <si>
    <t>ESQUADRIA - GRADIL METÁLICO</t>
  </si>
  <si>
    <t>22.1</t>
  </si>
  <si>
    <t>Caixa dágua metálica completa de 25.000l, inclusive base conforme projeto</t>
  </si>
  <si>
    <t>73906/003</t>
  </si>
  <si>
    <t>73910/001</t>
  </si>
  <si>
    <t>74067/001</t>
  </si>
  <si>
    <t>74130/006</t>
  </si>
  <si>
    <t>Quadro de distribuição de energia de embutir, em chapa metálica, para 32 disjuntores termomagnéticos monopolares, com barramento trifásico e neutro, fornecimento e instalação</t>
  </si>
  <si>
    <t>Quadro de distribuição de energia de embutir, em chapa metálica, para 18 disjuntores termomagnéticos monopolares, com barramento trifásico e neutro, fornecimento e instalação</t>
  </si>
  <si>
    <t>Dispositivo de proteção contra surto</t>
  </si>
  <si>
    <t>Disjuntor termomagnético monopolar 16 A, padrão DIN (linha branca)</t>
  </si>
  <si>
    <t>Disjuntor termomagnético monopolar 20 A, padrão DIN (linha branca)</t>
  </si>
  <si>
    <t>Disjuntor termomagnético monopolar 32 A, padrão DIN (linha branca)</t>
  </si>
  <si>
    <t>Disjuntor termomagnético tripolar 32 A, padrão DIN (linha branca)</t>
  </si>
  <si>
    <t>Disjuntor termomagnético tripolar 50 A, padrão DIN (linha branca)</t>
  </si>
  <si>
    <t>Disjuntor termomagnético tripolar 100 A, padrão NEMA (linha branca)</t>
  </si>
  <si>
    <t>Disjuntor termomagnético monopolar 25 A, padrão DIN (linha branca)</t>
  </si>
  <si>
    <t>Disjuntor termomagnético TRIFÁSICO 40 A, padrão DIN (linha branca)</t>
  </si>
  <si>
    <t>Interruptor diferencial residual (D.R) Bipolar de 40A - 30A</t>
  </si>
  <si>
    <t>Padrão trifásico 16MM2 H=7Metros</t>
  </si>
  <si>
    <t>Haste Copperweld 5/8 x 3,0m com conector</t>
  </si>
  <si>
    <t>Aço CA-50 B Diam de 10.0mm</t>
  </si>
  <si>
    <t>74131/004</t>
  </si>
  <si>
    <t>74130/001</t>
  </si>
  <si>
    <t>74130/004</t>
  </si>
  <si>
    <t>74130/005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</si>
  <si>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</si>
  <si>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</si>
  <si>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</si>
  <si>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</si>
  <si>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</si>
  <si>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</si>
  <si>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</si>
  <si>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</si>
  <si>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13.1.15</t>
  </si>
  <si>
    <t>Kg</t>
  </si>
  <si>
    <t>13.3.6</t>
  </si>
  <si>
    <t>Cordoalha de cobre NU, inclusive isoladores - 16,00 mm2, fornecimento e instalação</t>
  </si>
  <si>
    <t>Tomada de embutir 2P+T 10A/250V C/ Placa, tipo silentoque pial ou equivalente</t>
  </si>
  <si>
    <t>Tomada dupla de embutir 2x2P+T 10A/250V C/Placa, Tipo Silentoque Pial</t>
  </si>
  <si>
    <t>Interruptor simples com 1 Tomada Universal conjugados</t>
  </si>
  <si>
    <t>Tomada conjugada 1 Tomada + 1 Interruptor paralelo de uma seção fornecimento e instalação</t>
  </si>
  <si>
    <t>Interruptor paralelo de embutir 10A/250V sem placa, 1 tecla - fornecimento e instalação</t>
  </si>
  <si>
    <t>Interruptor paralelo duplo (2seções)</t>
  </si>
  <si>
    <t>Interruptor simples de embutir 10A/250V sem placa, 1 tecla fornecimento e instalação</t>
  </si>
  <si>
    <t>Interruptor simples completo (3seções) - Fornecimento e Instalação</t>
  </si>
  <si>
    <t>Suporte 4x4, com 6 módulos de interruptores com Tampa cor Branca</t>
  </si>
  <si>
    <t>Luminárias 2x16W completa</t>
  </si>
  <si>
    <t>Caixa de passagem 4x4</t>
  </si>
  <si>
    <t>Luminária 2x32 com aletas</t>
  </si>
  <si>
    <t>13.4.15</t>
  </si>
  <si>
    <t>13.4.16</t>
  </si>
  <si>
    <t>13.4.17</t>
  </si>
  <si>
    <t>13.4.18</t>
  </si>
  <si>
    <t>RACK P/ CABEAMENTO ESTRUTURADO</t>
  </si>
  <si>
    <t xml:space="preserve">UN </t>
  </si>
  <si>
    <t>PATCH PANNEL PADRÃO 19" CAT. 5E, COM 24 PORTAS</t>
  </si>
  <si>
    <t>13.5.1.9</t>
  </si>
  <si>
    <t>Cabo par trançado não blindado (UTP)-4 pares 24 AWG,100 Ohms - Categoria 5e</t>
  </si>
  <si>
    <t>Cabos de conexões – Patch Cord ultra flexível com RJ 45 nas 2 pontas - 2 metros</t>
  </si>
  <si>
    <t xml:space="preserve">73749/001 </t>
  </si>
  <si>
    <t>Mercado</t>
  </si>
  <si>
    <t>Caixa de passagem em alvenaria 20x20 com tampa de ferro fundido escrito ATERRAMENTO</t>
  </si>
  <si>
    <t xml:space="preserve">CAIXA ENTERRADA PARA INSTALACOES TELEFONICAS TIPO R1 0,60X0,35X0,50M E M BLOCOS DE CONCRETO ESTRUTURAL </t>
  </si>
  <si>
    <t>CAIXA DE PASSAGEM 60X60X70 FUNDO BRITA COM TAMPA , SENDO UMA CB1  e três R0</t>
  </si>
  <si>
    <t>Eletroduto PVC flexível corrugado reforçado, Ø32mm (DN 1"), inclusive curvas e luva</t>
  </si>
  <si>
    <t>13.5.6.9</t>
  </si>
  <si>
    <t>Certificação de Rede</t>
  </si>
  <si>
    <t>pontos</t>
  </si>
  <si>
    <t>13.6</t>
  </si>
  <si>
    <t>SISTEMA DE PROTEÇÃO CONTRA DESCARGA ATMOSFÉRICAS</t>
  </si>
  <si>
    <t>13.6.1</t>
  </si>
  <si>
    <t>Cabo de cobre nú 35 mm2</t>
  </si>
  <si>
    <t>13.6.2</t>
  </si>
  <si>
    <t>Conector e descida para pilares</t>
  </si>
  <si>
    <t>13.6.3</t>
  </si>
  <si>
    <t xml:space="preserve">TERMINAL AEREO EM ACO GALVANIZADO COM BASE DE FIXACAO H = 30CM </t>
  </si>
  <si>
    <t>13.6.4</t>
  </si>
  <si>
    <t>INSTALACAO PARA-RAIOS P/RESERVATORIO</t>
  </si>
  <si>
    <t>AGETOP</t>
  </si>
  <si>
    <t>270802</t>
  </si>
  <si>
    <t>Cj.</t>
  </si>
  <si>
    <t>Mastro P/ Bandeira Ferro Galvanizado Conjunto com 3 unidades (Assentado e Pintado), incluso base</t>
  </si>
  <si>
    <t>74000/001</t>
  </si>
  <si>
    <t>Central de GLP Botijões P45, para 2 botijões</t>
  </si>
  <si>
    <t>Fita Anticorrosiva 150MM X 30,0M</t>
  </si>
  <si>
    <t>18.1</t>
  </si>
  <si>
    <t>18.2</t>
  </si>
  <si>
    <t>18.3</t>
  </si>
  <si>
    <t>18.4</t>
  </si>
  <si>
    <t>18.5</t>
  </si>
  <si>
    <t>18.6</t>
  </si>
  <si>
    <t>18.7</t>
  </si>
  <si>
    <t>18.8</t>
  </si>
  <si>
    <t>19.2</t>
  </si>
  <si>
    <t>19.3</t>
  </si>
  <si>
    <t>19.4</t>
  </si>
  <si>
    <t>19.5</t>
  </si>
  <si>
    <t>19.6</t>
  </si>
  <si>
    <t>19.7</t>
  </si>
  <si>
    <t>19.8</t>
  </si>
  <si>
    <t>20.1.1</t>
  </si>
  <si>
    <t>20.1.2</t>
  </si>
  <si>
    <t>20.1.3</t>
  </si>
  <si>
    <t>20.1.4</t>
  </si>
  <si>
    <t>Banheira Embutir em plástico tipo PVC, 77x45x20cm, Burigotto ou equivalente</t>
  </si>
  <si>
    <t>73911/002(mão de obra e material exceto cuba) cuba preço de mercado</t>
  </si>
  <si>
    <t>TOTAL</t>
  </si>
  <si>
    <t>CONCRETO ARMADO PARA FUNDAÇÕES  (Estacas e Blocos)</t>
  </si>
  <si>
    <t>Lastro de concreto magro (e=3,0 cm) - preparo mecânico, sob. Blocos</t>
  </si>
  <si>
    <t>7394/002</t>
  </si>
  <si>
    <t>3.1.4</t>
  </si>
  <si>
    <t>3.1.6</t>
  </si>
  <si>
    <t>74137/003</t>
  </si>
  <si>
    <t>Concreto para Fundação fck=20MPa, incluindo preparo, lançamento, adensamento. (Blocos)</t>
  </si>
  <si>
    <t>Armação aço CA-50, Diam. 6,3 (1/4) á 12,5mm(1/2) -Fornecimento/corte perda de 10%) / dobra / colocação. (Blocos)</t>
  </si>
  <si>
    <t xml:space="preserve">Armação aço CA-60 Diam. 3.4 a 6.0 mm ( Blocos)
</t>
  </si>
  <si>
    <t>Estaca a trado 30mm Concreto Armado fck= 20 Mpa ( considerando 8,5m de profundidade cada estaca) e consumo de aço armando 1,5m = 0,80 Kg/m</t>
  </si>
  <si>
    <t>Bacia Convencional Studio Kids, código PI.16, para valvula de descarga, em louca branca,  anel de vedação, tubo pvc ligacao - fornecimento e instalacao, Deca ou equivalente, inclusive assento</t>
  </si>
  <si>
    <t>Município: Cidade Ocidental - GO</t>
  </si>
  <si>
    <t>OBRA: Projeto Padrão FNDE - Creche Padrão C Para 60 Crianças</t>
  </si>
  <si>
    <t xml:space="preserve">Endereço: Super Quadra 17, Quadra 8 Lote 02 </t>
  </si>
  <si>
    <t xml:space="preserve">Custo TOTAL </t>
  </si>
  <si>
    <t>BDI 24,09%</t>
  </si>
  <si>
    <t>TOTAL R$</t>
  </si>
  <si>
    <t>PR. UNIT.(R$) sem bdi</t>
  </si>
  <si>
    <t>Engenheiro ou Arquiteto Auxiliar/Junior - De Obra</t>
  </si>
  <si>
    <t>Mestre de Obras</t>
  </si>
  <si>
    <t>I-004069</t>
  </si>
  <si>
    <t>Vigia Noturno</t>
  </si>
  <si>
    <t>I-0010508</t>
  </si>
  <si>
    <t>23.1</t>
  </si>
  <si>
    <t>ADMINISTRAÇÃO LOCAL E CANTEIRO DE OBRAS</t>
  </si>
  <si>
    <t>Mês</t>
  </si>
  <si>
    <t>22.2</t>
  </si>
  <si>
    <t>22.3</t>
  </si>
  <si>
    <t>22.4</t>
  </si>
  <si>
    <t>22.5</t>
  </si>
  <si>
    <t xml:space="preserve">Subtotal </t>
  </si>
  <si>
    <t>CRONOGRAMA FÍSICO-FINANCEIRO</t>
  </si>
  <si>
    <t>DISCRIMINAÇÃO DOS SERVIÇOS</t>
  </si>
  <si>
    <t>CONTRATO</t>
  </si>
  <si>
    <t>mês 01</t>
  </si>
  <si>
    <t>mês 02</t>
  </si>
  <si>
    <t>mês 03</t>
  </si>
  <si>
    <t>mês 04</t>
  </si>
  <si>
    <t>mês 05</t>
  </si>
  <si>
    <t>mês 06</t>
  </si>
  <si>
    <t>%</t>
  </si>
  <si>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</si>
  <si>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</si>
  <si>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</si>
  <si>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</si>
  <si>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</si>
  <si>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</si>
  <si>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</si>
  <si>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</si>
  <si>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</si>
  <si>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</si>
  <si>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</si>
  <si>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</si>
  <si>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</si>
  <si>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</si>
  <si>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</si>
  <si>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</si>
  <si>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</si>
  <si>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18.0</t>
  </si>
  <si>
    <t>19.0</t>
  </si>
  <si>
    <t>SUB-TOTAL MENSAL</t>
  </si>
  <si>
    <t>ACUMULADO</t>
  </si>
  <si>
    <t>BDI</t>
  </si>
  <si>
    <t>SUB-TOTAL MENSAL C/ BDI</t>
  </si>
  <si>
    <t>ACUMULADO C/ BDI</t>
  </si>
  <si>
    <t>mês 07</t>
  </si>
  <si>
    <t>mês 08</t>
  </si>
  <si>
    <t>20.0</t>
  </si>
  <si>
    <t>21.0</t>
  </si>
  <si>
    <t>22.0</t>
  </si>
  <si>
    <t>23.0</t>
  </si>
  <si>
    <t>Subtotal</t>
  </si>
  <si>
    <t>Un.</t>
  </si>
  <si>
    <t>22.6</t>
  </si>
  <si>
    <t>Cantina ( Almoço)</t>
  </si>
  <si>
    <t>Café da Manhã</t>
  </si>
  <si>
    <t>22.7</t>
  </si>
  <si>
    <t>Kwh</t>
  </si>
  <si>
    <t>EPI's</t>
  </si>
  <si>
    <t>Consumo de Energia Elétrica</t>
  </si>
  <si>
    <t>Regularização de superfície em terra com motoniveladora</t>
  </si>
  <si>
    <t>Corte e Aterro compensados</t>
  </si>
  <si>
    <t>2.5</t>
  </si>
  <si>
    <t>2.6</t>
  </si>
  <si>
    <t>Eng. Rômullo J. Mendes - Crea/Go 13.443/D</t>
  </si>
  <si>
    <t>CONCRETO ARMADO PARA - VIGAS BALDRAMES</t>
  </si>
  <si>
    <t>Plantio Grama Esmeralda Placa c/Irrig. Adubo, Terra</t>
  </si>
  <si>
    <t>Eng. Rômullo J. Mendes - Crea - Go.: 13.443/D</t>
  </si>
  <si>
    <t>40675
10855</t>
  </si>
  <si>
    <t>Piso podotátil interno em borracha 25x25cm, assentamento com cola vinil (fornecimento e assentamento)</t>
  </si>
  <si>
    <t>Piso tátil de alerta/direcional em placas pré-moldadas - 5MPa - (25 x 25 )</t>
  </si>
  <si>
    <t>Lastro de areia para o playground ( e=40cm)</t>
  </si>
  <si>
    <t>Pavimetação em blocos intertravado de concreto, esp. 6,5cm, FCK 35MPA, assentados sobre colcão de areia</t>
  </si>
  <si>
    <t>21.2</t>
  </si>
  <si>
    <t>21.3</t>
  </si>
  <si>
    <t>21.4</t>
  </si>
  <si>
    <t>21.5</t>
  </si>
  <si>
    <t>21.6</t>
  </si>
  <si>
    <t>21.7</t>
  </si>
  <si>
    <t>Balanço de 4 Lugares - Conforme Indicação Projeto</t>
  </si>
  <si>
    <t>Gira Gira Carrossel 3 Crianças - Especificação de projeto</t>
  </si>
  <si>
    <t>Casa de Bonecas - Especificação de Projeto</t>
  </si>
  <si>
    <t>Escorregador - Especificação de Projeto</t>
  </si>
  <si>
    <t>Gangorra Tripla - Especificação de Projeto</t>
  </si>
  <si>
    <t>Túnel Lúdico - Especificação de Projeto</t>
  </si>
  <si>
    <t>I-00002706</t>
  </si>
  <si>
    <t>Composição</t>
  </si>
  <si>
    <t xml:space="preserve">Camada impermeabilizadora e=2,5cm </t>
  </si>
  <si>
    <t>Piso de concrero prefabricados 50 x 50 cm, e=5cm</t>
  </si>
  <si>
    <t>20.2.1</t>
  </si>
  <si>
    <t>20.2</t>
  </si>
  <si>
    <t>20.2.2</t>
  </si>
  <si>
    <t>20.2.3</t>
  </si>
  <si>
    <t>20.2.4</t>
  </si>
  <si>
    <t>20.2.5</t>
  </si>
  <si>
    <t>20.2.6</t>
  </si>
  <si>
    <t>20.2.7</t>
  </si>
  <si>
    <t>20.2.8</t>
  </si>
  <si>
    <t>20.2.9</t>
  </si>
  <si>
    <t>20.2.10</t>
  </si>
  <si>
    <t>20.2.11</t>
  </si>
  <si>
    <t>Gradil fixo tipo belgo ou equivalente, conforme projeto inclusive ferragens</t>
  </si>
  <si>
    <t>Forma de madeira comum para Vigas Baldrame, Superior e Pilares - reaproveitamento 5X</t>
  </si>
  <si>
    <t xml:space="preserve">Armação aço CA-60 Diam. 3.4 a 6.0 mm Pilares, Vigas e Fundação
</t>
  </si>
  <si>
    <t xml:space="preserve">Estaca a trado 30mm Concreto Armado fck= 20 Mpa ( considerando 2,0m de profundidade cada estaca) 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</si>
</sst>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(&quot;R$&quot;* #,##0.00_);_(&quot;R$&quot;* \(#,##0.00\);_(&quot;R$&quot;* &quot;-&quot;??_);_(@_)"/>
  </numFmts>
  <fonts count="19"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8"/>
      <name val="Arial"/>
      <family val="2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8"/>
      <name val="Arial"/>
      <family val="2"/>
    </font>
    <font>
      <sz val="10"/>
      <color rgb="FF000000"/>
      <name val="Courier New"/>
      <family val="3"/>
    </font>
    <font>
      <sz val="10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1"/>
      <color rgb="FF000000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2">
    <xf numFmtId="0" fontId="0" fillId="0" borderId="0"/>
    <xf numFmtId="0" fontId="7" fillId="0" borderId="0" applyNumberFormat="0" applyBorder="0" applyProtection="0"/>
    <xf numFmtId="0" fontId="7" fillId="0" borderId="0" applyNumberFormat="0" applyBorder="0" applyProtection="0"/>
    <xf numFmtId="165" fontId="7" fillId="0" borderId="0" applyBorder="0" applyProtection="0"/>
    <xf numFmtId="165" fontId="7" fillId="0" borderId="0" applyBorder="0" applyProtection="0"/>
    <xf numFmtId="0" fontId="8" fillId="0" borderId="0" applyNumberFormat="0" applyBorder="0" applyProtection="0"/>
    <xf numFmtId="0" fontId="7" fillId="0" borderId="0" applyNumberFormat="0" applyBorder="0" applyProtection="0"/>
    <xf numFmtId="166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" fillId="0" borderId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167" fontId="10" fillId="0" borderId="0" applyBorder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Border="0" applyProtection="0"/>
    <xf numFmtId="44" fontId="11" fillId="0" borderId="0" applyFont="0" applyFill="0" applyBorder="0" applyAlignment="0" applyProtection="0"/>
    <xf numFmtId="0" fontId="14" fillId="0" borderId="0">
      <alignment vertical="top"/>
    </xf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10" applyFont="1" applyFill="1" applyAlignment="1">
      <alignment vertical="center"/>
    </xf>
    <xf numFmtId="0" fontId="2" fillId="0" borderId="0" xfId="10" applyFont="1" applyFill="1" applyBorder="1" applyAlignment="1">
      <alignment horizontal="center"/>
    </xf>
    <xf numFmtId="0" fontId="1" fillId="0" borderId="0" xfId="10" applyFont="1" applyFill="1" applyBorder="1" applyAlignment="1">
      <alignment vertical="center" wrapText="1"/>
    </xf>
    <xf numFmtId="0" fontId="1" fillId="0" borderId="0" xfId="10" applyFont="1" applyFill="1" applyBorder="1" applyAlignment="1">
      <alignment horizontal="center" vertical="center"/>
    </xf>
    <xf numFmtId="0" fontId="1" fillId="0" borderId="0" xfId="10" applyFont="1" applyFill="1" applyAlignment="1">
      <alignment horizontal="center" vertical="center"/>
    </xf>
    <xf numFmtId="0" fontId="1" fillId="0" borderId="0" xfId="10" applyFont="1" applyFill="1" applyAlignment="1">
      <alignment horizontal="center"/>
    </xf>
    <xf numFmtId="0" fontId="1" fillId="0" borderId="0" xfId="10" applyFont="1" applyFill="1" applyAlignment="1">
      <alignment horizontal="left" vertical="center"/>
    </xf>
    <xf numFmtId="164" fontId="1" fillId="0" borderId="0" xfId="14" applyFont="1" applyFill="1" applyAlignment="1">
      <alignment vertical="center"/>
    </xf>
    <xf numFmtId="0" fontId="2" fillId="0" borderId="1" xfId="10" applyFont="1" applyFill="1" applyBorder="1" applyAlignment="1">
      <alignment horizontal="center"/>
    </xf>
    <xf numFmtId="0" fontId="2" fillId="0" borderId="1" xfId="10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vertical="center"/>
    </xf>
    <xf numFmtId="0" fontId="1" fillId="0" borderId="1" xfId="10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/>
    </xf>
    <xf numFmtId="164" fontId="1" fillId="0" borderId="1" xfId="14" applyFont="1" applyFill="1" applyBorder="1" applyAlignment="1">
      <alignment vertical="center"/>
    </xf>
    <xf numFmtId="4" fontId="2" fillId="0" borderId="1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wrapText="1"/>
    </xf>
    <xf numFmtId="4" fontId="1" fillId="0" borderId="1" xfId="10" applyNumberFormat="1" applyFont="1" applyFill="1" applyBorder="1" applyAlignment="1">
      <alignment vertical="center"/>
    </xf>
    <xf numFmtId="0" fontId="1" fillId="0" borderId="1" xfId="1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left" vertical="center" wrapText="1"/>
    </xf>
    <xf numFmtId="0" fontId="1" fillId="0" borderId="1" xfId="10" applyFont="1" applyFill="1" applyBorder="1" applyAlignment="1">
      <alignment horizontal="left" vertical="center"/>
    </xf>
    <xf numFmtId="0" fontId="2" fillId="0" borderId="1" xfId="10" applyFont="1" applyFill="1" applyBorder="1" applyAlignment="1">
      <alignment horizontal="center" wrapText="1"/>
    </xf>
    <xf numFmtId="0" fontId="2" fillId="0" borderId="1" xfId="10" applyFont="1" applyFill="1" applyBorder="1" applyAlignment="1">
      <alignment vertical="center" wrapText="1"/>
    </xf>
    <xf numFmtId="164" fontId="2" fillId="0" borderId="1" xfId="14" applyFont="1" applyFill="1" applyBorder="1" applyAlignment="1">
      <alignment vertical="center" wrapText="1"/>
    </xf>
    <xf numFmtId="4" fontId="2" fillId="0" borderId="1" xfId="10" applyNumberFormat="1" applyFont="1" applyFill="1" applyBorder="1" applyAlignment="1">
      <alignment vertical="center" wrapText="1"/>
    </xf>
    <xf numFmtId="4" fontId="1" fillId="0" borderId="0" xfId="10" applyNumberFormat="1" applyFont="1" applyFill="1" applyAlignment="1">
      <alignment vertical="center"/>
    </xf>
    <xf numFmtId="0" fontId="1" fillId="0" borderId="0" xfId="10" applyFont="1" applyAlignment="1">
      <alignment vertical="center"/>
    </xf>
    <xf numFmtId="0" fontId="2" fillId="0" borderId="1" xfId="10" applyFont="1" applyFill="1" applyBorder="1" applyAlignment="1">
      <alignment horizontal="left" vertical="center" wrapText="1"/>
    </xf>
    <xf numFmtId="0" fontId="2" fillId="2" borderId="1" xfId="10" applyFont="1" applyFill="1" applyBorder="1" applyAlignment="1">
      <alignment horizontal="center"/>
    </xf>
    <xf numFmtId="0" fontId="2" fillId="2" borderId="1" xfId="10" applyFont="1" applyFill="1" applyBorder="1" applyAlignment="1">
      <alignment vertical="center"/>
    </xf>
    <xf numFmtId="164" fontId="2" fillId="2" borderId="1" xfId="14" applyFont="1" applyFill="1" applyBorder="1" applyAlignment="1">
      <alignment vertical="center"/>
    </xf>
    <xf numFmtId="4" fontId="2" fillId="2" borderId="1" xfId="10" applyNumberFormat="1" applyFont="1" applyFill="1" applyBorder="1" applyAlignment="1">
      <alignment vertical="center"/>
    </xf>
    <xf numFmtId="165" fontId="4" fillId="0" borderId="1" xfId="4" applyFont="1" applyFill="1" applyBorder="1" applyAlignment="1">
      <alignment horizontal="center" wrapText="1"/>
    </xf>
    <xf numFmtId="0" fontId="4" fillId="0" borderId="1" xfId="5" applyNumberFormat="1" applyFont="1" applyFill="1" applyBorder="1" applyAlignment="1">
      <alignment horizontal="center" wrapText="1"/>
    </xf>
    <xf numFmtId="0" fontId="4" fillId="0" borderId="1" xfId="5" applyFont="1" applyFill="1" applyBorder="1" applyAlignment="1">
      <alignment horizontal="center" wrapText="1"/>
    </xf>
    <xf numFmtId="0" fontId="1" fillId="0" borderId="1" xfId="10" applyFont="1" applyFill="1" applyBorder="1" applyAlignment="1">
      <alignment vertical="center" wrapText="1"/>
    </xf>
    <xf numFmtId="164" fontId="1" fillId="0" borderId="1" xfId="14" applyFont="1" applyFill="1" applyBorder="1" applyAlignment="1">
      <alignment vertical="center" wrapText="1"/>
    </xf>
    <xf numFmtId="0" fontId="2" fillId="0" borderId="1" xfId="10" applyFont="1" applyFill="1" applyBorder="1" applyAlignment="1">
      <alignment horizontal="right" vertical="center" wrapText="1"/>
    </xf>
    <xf numFmtId="164" fontId="2" fillId="0" borderId="1" xfId="14" applyFont="1" applyFill="1" applyBorder="1" applyAlignment="1">
      <alignment horizontal="right" vertical="center" wrapText="1"/>
    </xf>
    <xf numFmtId="0" fontId="2" fillId="0" borderId="0" xfId="10" applyFont="1" applyFill="1" applyAlignment="1">
      <alignment vertical="center"/>
    </xf>
    <xf numFmtId="4" fontId="1" fillId="0" borderId="1" xfId="10" applyNumberFormat="1" applyFont="1" applyFill="1" applyBorder="1" applyAlignment="1">
      <alignment vertical="center" wrapText="1"/>
    </xf>
    <xf numFmtId="49" fontId="1" fillId="0" borderId="1" xfId="10" applyNumberFormat="1" applyFont="1" applyFill="1" applyBorder="1" applyAlignment="1">
      <alignment vertical="center" wrapText="1"/>
    </xf>
    <xf numFmtId="164" fontId="1" fillId="0" borderId="0" xfId="10" applyNumberFormat="1" applyFont="1" applyFill="1" applyAlignment="1">
      <alignment vertical="center"/>
    </xf>
    <xf numFmtId="164" fontId="1" fillId="0" borderId="1" xfId="14" applyFont="1" applyFill="1" applyBorder="1" applyAlignment="1">
      <alignment horizontal="center"/>
    </xf>
    <xf numFmtId="164" fontId="1" fillId="0" borderId="1" xfId="14" applyFont="1" applyFill="1" applyBorder="1" applyAlignment="1"/>
    <xf numFmtId="164" fontId="1" fillId="0" borderId="1" xfId="14" applyFont="1" applyFill="1" applyBorder="1" applyAlignment="1">
      <alignment horizontal="right"/>
    </xf>
    <xf numFmtId="0" fontId="1" fillId="0" borderId="0" xfId="10" applyFont="1" applyFill="1" applyBorder="1" applyAlignment="1">
      <alignment horizontal="center"/>
    </xf>
    <xf numFmtId="0" fontId="1" fillId="0" borderId="0" xfId="10" applyFont="1" applyFill="1" applyBorder="1" applyAlignment="1">
      <alignment horizontal="left" vertical="center"/>
    </xf>
    <xf numFmtId="164" fontId="1" fillId="0" borderId="0" xfId="14" applyFont="1" applyFill="1" applyBorder="1" applyAlignment="1">
      <alignment vertical="center"/>
    </xf>
    <xf numFmtId="49" fontId="2" fillId="3" borderId="3" xfId="10" applyNumberFormat="1" applyFont="1" applyFill="1" applyBorder="1" applyAlignment="1">
      <alignment horizontal="center" vertical="center"/>
    </xf>
    <xf numFmtId="49" fontId="2" fillId="3" borderId="4" xfId="10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left" vertical="justify" wrapText="1"/>
    </xf>
    <xf numFmtId="164" fontId="2" fillId="3" borderId="5" xfId="14" applyFont="1" applyFill="1" applyBorder="1" applyAlignment="1">
      <alignment horizontal="center" vertical="center"/>
    </xf>
    <xf numFmtId="164" fontId="1" fillId="0" borderId="1" xfId="14" applyFont="1" applyFill="1" applyBorder="1" applyAlignment="1">
      <alignment horizontal="center" vertical="center"/>
    </xf>
    <xf numFmtId="164" fontId="1" fillId="0" borderId="1" xfId="14" applyFont="1" applyFill="1" applyBorder="1" applyAlignment="1">
      <alignment horizontal="right" vertical="center" wrapText="1"/>
    </xf>
    <xf numFmtId="164" fontId="1" fillId="0" borderId="1" xfId="14" applyFont="1" applyFill="1" applyBorder="1" applyAlignment="1">
      <alignment horizontal="center" vertical="center" wrapText="1"/>
    </xf>
    <xf numFmtId="164" fontId="1" fillId="0" borderId="0" xfId="14" applyFont="1" applyFill="1" applyBorder="1" applyAlignment="1">
      <alignment horizontal="center" vertical="center"/>
    </xf>
    <xf numFmtId="164" fontId="1" fillId="0" borderId="0" xfId="14" applyFont="1" applyFill="1" applyAlignment="1">
      <alignment horizontal="center" vertical="center"/>
    </xf>
    <xf numFmtId="164" fontId="1" fillId="4" borderId="1" xfId="14" applyFont="1" applyFill="1" applyBorder="1" applyAlignment="1">
      <alignment horizontal="center" vertical="center"/>
    </xf>
    <xf numFmtId="0" fontId="1" fillId="4" borderId="1" xfId="10" applyFont="1" applyFill="1" applyBorder="1" applyAlignment="1">
      <alignment vertical="center" wrapText="1"/>
    </xf>
    <xf numFmtId="0" fontId="1" fillId="4" borderId="1" xfId="10" applyFont="1" applyFill="1" applyBorder="1" applyAlignment="1">
      <alignment horizontal="left" vertical="center" wrapText="1"/>
    </xf>
    <xf numFmtId="0" fontId="1" fillId="4" borderId="1" xfId="10" applyFont="1" applyFill="1" applyBorder="1" applyAlignment="1">
      <alignment horizontal="center"/>
    </xf>
    <xf numFmtId="0" fontId="1" fillId="4" borderId="1" xfId="10" applyFont="1" applyFill="1" applyBorder="1" applyAlignment="1">
      <alignment horizontal="center" vertical="center"/>
    </xf>
    <xf numFmtId="164" fontId="1" fillId="4" borderId="1" xfId="14" applyFont="1" applyFill="1" applyBorder="1" applyAlignment="1">
      <alignment vertical="center"/>
    </xf>
    <xf numFmtId="4" fontId="1" fillId="4" borderId="1" xfId="10" applyNumberFormat="1" applyFont="1" applyFill="1" applyBorder="1" applyAlignment="1">
      <alignment vertical="center"/>
    </xf>
    <xf numFmtId="164" fontId="1" fillId="4" borderId="0" xfId="10" applyNumberFormat="1" applyFont="1" applyFill="1" applyAlignment="1">
      <alignment vertical="center"/>
    </xf>
    <xf numFmtId="0" fontId="1" fillId="4" borderId="1" xfId="10" applyFont="1" applyFill="1" applyBorder="1" applyAlignment="1">
      <alignment horizontal="center" wrapText="1"/>
    </xf>
    <xf numFmtId="0" fontId="1" fillId="4" borderId="1" xfId="10" applyFont="1" applyFill="1" applyBorder="1" applyAlignment="1">
      <alignment vertical="center"/>
    </xf>
    <xf numFmtId="0" fontId="1" fillId="4" borderId="0" xfId="10" applyFont="1" applyFill="1" applyAlignment="1">
      <alignment vertical="center"/>
    </xf>
    <xf numFmtId="0" fontId="1" fillId="4" borderId="1" xfId="10" applyFont="1" applyFill="1" applyBorder="1" applyAlignment="1">
      <alignment horizontal="center" vertical="center" wrapText="1"/>
    </xf>
    <xf numFmtId="164" fontId="1" fillId="4" borderId="1" xfId="14" applyFont="1" applyFill="1" applyBorder="1" applyAlignment="1">
      <alignment horizontal="center" vertical="center" wrapText="1"/>
    </xf>
    <xf numFmtId="0" fontId="1" fillId="4" borderId="0" xfId="10" applyFont="1" applyFill="1" applyBorder="1" applyAlignment="1">
      <alignment vertical="center"/>
    </xf>
    <xf numFmtId="0" fontId="1" fillId="4" borderId="1" xfId="10" applyFont="1" applyFill="1" applyBorder="1" applyAlignment="1">
      <alignment horizontal="left" vertical="center"/>
    </xf>
    <xf numFmtId="0" fontId="2" fillId="4" borderId="1" xfId="10" applyFont="1" applyFill="1" applyBorder="1" applyAlignment="1">
      <alignment horizontal="center"/>
    </xf>
    <xf numFmtId="0" fontId="2" fillId="4" borderId="1" xfId="10" applyFont="1" applyFill="1" applyBorder="1" applyAlignment="1">
      <alignment vertical="center"/>
    </xf>
    <xf numFmtId="164" fontId="1" fillId="4" borderId="1" xfId="14" applyFont="1" applyFill="1" applyBorder="1" applyAlignment="1">
      <alignment horizontal="right" vertical="center"/>
    </xf>
    <xf numFmtId="0" fontId="2" fillId="4" borderId="1" xfId="10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164" fontId="6" fillId="0" borderId="1" xfId="14" applyFont="1" applyFill="1" applyBorder="1" applyAlignment="1">
      <alignment vertical="center" wrapText="1"/>
    </xf>
    <xf numFmtId="0" fontId="6" fillId="0" borderId="1" xfId="10" applyFont="1" applyFill="1" applyBorder="1" applyAlignment="1">
      <alignment vertical="center" wrapText="1"/>
    </xf>
    <xf numFmtId="164" fontId="1" fillId="4" borderId="1" xfId="14" applyFont="1" applyFill="1" applyBorder="1" applyAlignment="1">
      <alignment horizontal="right" vertical="center" wrapText="1"/>
    </xf>
    <xf numFmtId="0" fontId="1" fillId="4" borderId="0" xfId="10" applyFont="1" applyFill="1" applyBorder="1" applyAlignment="1">
      <alignment horizontal="center" vertical="center" wrapText="1"/>
    </xf>
    <xf numFmtId="164" fontId="1" fillId="0" borderId="1" xfId="14" applyFont="1" applyFill="1" applyBorder="1" applyAlignment="1">
      <alignment horizontal="right" vertical="center"/>
    </xf>
    <xf numFmtId="164" fontId="1" fillId="2" borderId="1" xfId="14" applyFont="1" applyFill="1" applyBorder="1" applyAlignment="1">
      <alignment vertical="center"/>
    </xf>
    <xf numFmtId="49" fontId="1" fillId="0" borderId="1" xfId="1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10" quotePrefix="1" applyFont="1" applyFill="1" applyBorder="1" applyAlignment="1">
      <alignment horizontal="center" vertical="center" wrapText="1"/>
    </xf>
    <xf numFmtId="4" fontId="2" fillId="3" borderId="4" xfId="10" applyNumberFormat="1" applyFont="1" applyFill="1" applyBorder="1" applyAlignment="1">
      <alignment horizontal="center" vertical="justify"/>
    </xf>
    <xf numFmtId="0" fontId="1" fillId="0" borderId="0" xfId="1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left" wrapText="1"/>
    </xf>
    <xf numFmtId="0" fontId="5" fillId="0" borderId="1" xfId="17" applyNumberFormat="1" applyFont="1" applyFill="1" applyBorder="1" applyAlignment="1">
      <alignment horizontal="center" vertical="center"/>
    </xf>
    <xf numFmtId="0" fontId="12" fillId="0" borderId="1" xfId="17" applyNumberFormat="1" applyFont="1" applyFill="1" applyBorder="1" applyAlignment="1">
      <alignment horizontal="left" vertical="center" wrapText="1"/>
    </xf>
    <xf numFmtId="4" fontId="1" fillId="0" borderId="1" xfId="17" applyNumberFormat="1" applyFont="1" applyFill="1" applyBorder="1" applyAlignment="1">
      <alignment horizontal="center" vertical="center"/>
    </xf>
    <xf numFmtId="164" fontId="2" fillId="3" borderId="1" xfId="14" applyFont="1" applyFill="1" applyBorder="1" applyAlignment="1">
      <alignment vertical="center"/>
    </xf>
    <xf numFmtId="0" fontId="2" fillId="3" borderId="1" xfId="10" applyFont="1" applyFill="1" applyBorder="1" applyAlignment="1">
      <alignment horizontal="center"/>
    </xf>
    <xf numFmtId="0" fontId="2" fillId="0" borderId="0" xfId="10" applyFont="1" applyFill="1" applyBorder="1" applyAlignment="1">
      <alignment horizontal="left" vertical="center"/>
    </xf>
    <xf numFmtId="0" fontId="13" fillId="0" borderId="0" xfId="0" applyFont="1"/>
    <xf numFmtId="0" fontId="1" fillId="0" borderId="8" xfId="10" applyFont="1" applyFill="1" applyBorder="1" applyAlignment="1">
      <alignment horizontal="center"/>
    </xf>
    <xf numFmtId="0" fontId="1" fillId="0" borderId="8" xfId="10" applyFont="1" applyFill="1" applyBorder="1" applyAlignment="1">
      <alignment horizontal="left" vertical="center"/>
    </xf>
    <xf numFmtId="0" fontId="1" fillId="0" borderId="8" xfId="10" applyFont="1" applyFill="1" applyBorder="1" applyAlignment="1">
      <alignment horizontal="center" vertical="center"/>
    </xf>
    <xf numFmtId="164" fontId="1" fillId="0" borderId="8" xfId="14" applyFont="1" applyFill="1" applyBorder="1" applyAlignment="1">
      <alignment horizontal="center" vertical="center"/>
    </xf>
    <xf numFmtId="164" fontId="1" fillId="0" borderId="8" xfId="14" applyFont="1" applyFill="1" applyBorder="1" applyAlignment="1">
      <alignment vertical="center"/>
    </xf>
    <xf numFmtId="0" fontId="1" fillId="0" borderId="8" xfId="10" applyFont="1" applyFill="1" applyBorder="1" applyAlignment="1">
      <alignment vertical="center"/>
    </xf>
    <xf numFmtId="0" fontId="15" fillId="0" borderId="0" xfId="17" applyNumberFormat="1" applyFont="1" applyBorder="1" applyAlignment="1">
      <alignment vertical="center"/>
    </xf>
    <xf numFmtId="0" fontId="12" fillId="0" borderId="0" xfId="18" applyFont="1" applyAlignment="1"/>
    <xf numFmtId="0" fontId="5" fillId="0" borderId="0" xfId="18" applyFont="1" applyAlignment="1"/>
    <xf numFmtId="4" fontId="5" fillId="0" borderId="0" xfId="18" applyNumberFormat="1" applyFont="1">
      <alignment vertical="top"/>
    </xf>
    <xf numFmtId="0" fontId="5" fillId="0" borderId="0" xfId="18" applyFont="1">
      <alignment vertical="top"/>
    </xf>
    <xf numFmtId="49" fontId="5" fillId="0" borderId="1" xfId="18" applyNumberFormat="1" applyFont="1" applyBorder="1" applyAlignment="1">
      <alignment horizontal="centerContinuous" vertical="center"/>
    </xf>
    <xf numFmtId="4" fontId="5" fillId="0" borderId="1" xfId="18" applyNumberFormat="1" applyFont="1" applyBorder="1" applyAlignment="1">
      <alignment horizontal="right" vertical="center"/>
    </xf>
    <xf numFmtId="10" fontId="5" fillId="0" borderId="1" xfId="18" applyNumberFormat="1" applyFont="1" applyBorder="1" applyAlignment="1">
      <alignment horizontal="center" vertical="center"/>
    </xf>
    <xf numFmtId="4" fontId="5" fillId="5" borderId="1" xfId="18" applyNumberFormat="1" applyFont="1" applyFill="1" applyBorder="1" applyAlignment="1">
      <alignment horizontal="center" vertical="center"/>
    </xf>
    <xf numFmtId="10" fontId="5" fillId="5" borderId="1" xfId="18" applyNumberFormat="1" applyFont="1" applyFill="1" applyBorder="1" applyAlignment="1">
      <alignment horizontal="center" vertical="center"/>
    </xf>
    <xf numFmtId="4" fontId="5" fillId="0" borderId="1" xfId="18" applyNumberFormat="1" applyFont="1" applyFill="1" applyBorder="1" applyAlignment="1">
      <alignment horizontal="center" vertical="center"/>
    </xf>
    <xf numFmtId="10" fontId="5" fillId="0" borderId="1" xfId="18" applyNumberFormat="1" applyFont="1" applyFill="1" applyBorder="1" applyAlignment="1">
      <alignment horizontal="center" vertical="center"/>
    </xf>
    <xf numFmtId="0" fontId="12" fillId="0" borderId="12" xfId="18" applyFont="1" applyBorder="1" applyAlignment="1">
      <alignment vertical="center"/>
    </xf>
    <xf numFmtId="0" fontId="12" fillId="0" borderId="20" xfId="18" applyFont="1" applyBorder="1" applyAlignment="1">
      <alignment vertical="center"/>
    </xf>
    <xf numFmtId="4" fontId="12" fillId="0" borderId="21" xfId="18" applyNumberFormat="1" applyFont="1" applyBorder="1" applyAlignment="1">
      <alignment vertical="center"/>
    </xf>
    <xf numFmtId="10" fontId="12" fillId="0" borderId="21" xfId="18" applyNumberFormat="1" applyFont="1" applyBorder="1" applyAlignment="1">
      <alignment horizontal="center" vertical="center"/>
    </xf>
    <xf numFmtId="4" fontId="5" fillId="0" borderId="21" xfId="18" applyNumberFormat="1" applyFont="1" applyBorder="1" applyAlignment="1"/>
    <xf numFmtId="4" fontId="12" fillId="0" borderId="1" xfId="18" applyNumberFormat="1" applyFont="1" applyBorder="1" applyAlignment="1">
      <alignment horizontal="center" vertical="center"/>
    </xf>
    <xf numFmtId="10" fontId="12" fillId="0" borderId="1" xfId="18" applyNumberFormat="1" applyFont="1" applyBorder="1" applyAlignment="1">
      <alignment horizontal="center" vertical="center"/>
    </xf>
    <xf numFmtId="0" fontId="12" fillId="0" borderId="7" xfId="18" applyFont="1" applyBorder="1" applyAlignment="1">
      <alignment vertical="center"/>
    </xf>
    <xf numFmtId="0" fontId="12" fillId="0" borderId="9" xfId="18" applyFont="1" applyBorder="1" applyAlignment="1">
      <alignment horizontal="center" vertical="center"/>
    </xf>
    <xf numFmtId="10" fontId="12" fillId="0" borderId="20" xfId="19" applyNumberFormat="1" applyFont="1" applyBorder="1" applyAlignment="1">
      <alignment horizontal="center" vertical="center"/>
    </xf>
    <xf numFmtId="0" fontId="5" fillId="0" borderId="1" xfId="18" applyFont="1" applyBorder="1" applyAlignment="1">
      <alignment vertical="center" wrapText="1"/>
    </xf>
    <xf numFmtId="0" fontId="5" fillId="0" borderId="1" xfId="17" applyNumberFormat="1" applyFont="1" applyFill="1" applyBorder="1" applyAlignment="1">
      <alignment horizontal="right" vertical="center"/>
    </xf>
    <xf numFmtId="4" fontId="2" fillId="3" borderId="4" xfId="10" applyNumberFormat="1" applyFont="1" applyFill="1" applyBorder="1" applyAlignment="1">
      <alignment horizontal="center" vertical="center"/>
    </xf>
    <xf numFmtId="4" fontId="5" fillId="4" borderId="1" xfId="18" applyNumberFormat="1" applyFont="1" applyFill="1" applyBorder="1" applyAlignment="1">
      <alignment horizontal="center" vertical="center"/>
    </xf>
    <xf numFmtId="10" fontId="5" fillId="4" borderId="1" xfId="18" applyNumberFormat="1" applyFont="1" applyFill="1" applyBorder="1" applyAlignment="1">
      <alignment horizontal="center" vertical="center"/>
    </xf>
    <xf numFmtId="4" fontId="0" fillId="0" borderId="0" xfId="0" applyNumberFormat="1"/>
    <xf numFmtId="0" fontId="17" fillId="0" borderId="22" xfId="0" applyFont="1" applyBorder="1"/>
    <xf numFmtId="0" fontId="0" fillId="0" borderId="22" xfId="0" applyBorder="1"/>
    <xf numFmtId="164" fontId="1" fillId="4" borderId="1" xfId="14" applyFont="1" applyFill="1" applyBorder="1" applyAlignment="1">
      <alignment horizontal="center"/>
    </xf>
    <xf numFmtId="10" fontId="1" fillId="0" borderId="0" xfId="10" applyNumberFormat="1" applyFont="1" applyFill="1" applyAlignment="1">
      <alignment vertical="center"/>
    </xf>
    <xf numFmtId="0" fontId="18" fillId="0" borderId="0" xfId="21" applyFill="1" applyBorder="1" applyAlignment="1" applyProtection="1">
      <alignment horizontal="left" vertical="center"/>
    </xf>
    <xf numFmtId="0" fontId="1" fillId="0" borderId="22" xfId="10" applyFont="1" applyFill="1" applyBorder="1" applyAlignment="1">
      <alignment horizontal="left" vertical="center"/>
    </xf>
    <xf numFmtId="0" fontId="12" fillId="0" borderId="23" xfId="17" applyNumberFormat="1" applyFont="1" applyBorder="1" applyAlignment="1">
      <alignment horizontal="center" vertical="center"/>
    </xf>
    <xf numFmtId="4" fontId="12" fillId="0" borderId="23" xfId="17" applyNumberFormat="1" applyFont="1" applyBorder="1" applyAlignment="1">
      <alignment horizontal="right" vertical="center"/>
    </xf>
    <xf numFmtId="4" fontId="16" fillId="0" borderId="23" xfId="17" applyNumberFormat="1" applyFont="1" applyBorder="1" applyAlignment="1">
      <alignment horizontal="right" vertical="center"/>
    </xf>
    <xf numFmtId="0" fontId="2" fillId="0" borderId="0" xfId="10" applyFont="1" applyFill="1" applyBorder="1" applyAlignment="1">
      <alignment horizontal="left" vertical="center"/>
    </xf>
    <xf numFmtId="0" fontId="2" fillId="0" borderId="16" xfId="10" applyFont="1" applyFill="1" applyBorder="1" applyAlignment="1">
      <alignment horizontal="center"/>
    </xf>
    <xf numFmtId="0" fontId="2" fillId="0" borderId="17" xfId="10" applyFont="1" applyFill="1" applyBorder="1" applyAlignment="1">
      <alignment horizontal="center"/>
    </xf>
    <xf numFmtId="0" fontId="2" fillId="0" borderId="18" xfId="10" applyFont="1" applyFill="1" applyBorder="1" applyAlignment="1">
      <alignment horizontal="center"/>
    </xf>
    <xf numFmtId="0" fontId="2" fillId="0" borderId="13" xfId="10" applyFont="1" applyFill="1" applyBorder="1" applyAlignment="1">
      <alignment horizontal="center" vertical="center"/>
    </xf>
    <xf numFmtId="0" fontId="2" fillId="0" borderId="14" xfId="10" applyFont="1" applyFill="1" applyBorder="1" applyAlignment="1">
      <alignment horizontal="center" vertical="center"/>
    </xf>
    <xf numFmtId="0" fontId="2" fillId="0" borderId="15" xfId="10" applyFont="1" applyFill="1" applyBorder="1" applyAlignment="1">
      <alignment horizontal="center" vertical="center"/>
    </xf>
    <xf numFmtId="164" fontId="2" fillId="4" borderId="0" xfId="14" applyFont="1" applyFill="1" applyBorder="1" applyAlignment="1">
      <alignment horizontal="center" vertical="center" wrapText="1"/>
    </xf>
    <xf numFmtId="0" fontId="12" fillId="0" borderId="10" xfId="18" applyFont="1" applyBorder="1" applyAlignment="1">
      <alignment horizontal="center" vertical="center"/>
    </xf>
    <xf numFmtId="0" fontId="12" fillId="0" borderId="11" xfId="18" applyFont="1" applyBorder="1" applyAlignment="1">
      <alignment horizontal="center" vertical="center"/>
    </xf>
    <xf numFmtId="0" fontId="12" fillId="0" borderId="12" xfId="18" applyFont="1" applyBorder="1" applyAlignment="1">
      <alignment horizontal="center" vertical="center"/>
    </xf>
    <xf numFmtId="0" fontId="12" fillId="0" borderId="20" xfId="18" applyFont="1" applyBorder="1" applyAlignment="1">
      <alignment horizontal="center" vertical="center"/>
    </xf>
    <xf numFmtId="0" fontId="12" fillId="2" borderId="19" xfId="18" applyFont="1" applyFill="1" applyBorder="1" applyAlignment="1">
      <alignment horizontal="center" vertical="center"/>
    </xf>
    <xf numFmtId="0" fontId="12" fillId="2" borderId="6" xfId="18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2" fillId="2" borderId="1" xfId="18" applyFont="1" applyFill="1" applyBorder="1" applyAlignment="1">
      <alignment horizontal="center" vertical="center" textRotation="255"/>
    </xf>
    <xf numFmtId="0" fontId="12" fillId="2" borderId="2" xfId="18" applyFont="1" applyFill="1" applyBorder="1" applyAlignment="1">
      <alignment horizontal="center" vertical="justify"/>
    </xf>
    <xf numFmtId="0" fontId="12" fillId="2" borderId="19" xfId="18" applyFont="1" applyFill="1" applyBorder="1" applyAlignment="1">
      <alignment horizontal="center" vertical="justify"/>
    </xf>
    <xf numFmtId="0" fontId="12" fillId="2" borderId="6" xfId="18" applyFont="1" applyFill="1" applyBorder="1" applyAlignment="1">
      <alignment horizontal="center" vertical="justify"/>
    </xf>
    <xf numFmtId="0" fontId="12" fillId="2" borderId="7" xfId="18" applyFont="1" applyFill="1" applyBorder="1" applyAlignment="1">
      <alignment horizontal="center" vertical="justify"/>
    </xf>
    <xf numFmtId="0" fontId="12" fillId="2" borderId="9" xfId="18" applyFont="1" applyFill="1" applyBorder="1" applyAlignment="1">
      <alignment horizontal="center" vertical="justify"/>
    </xf>
    <xf numFmtId="0" fontId="12" fillId="2" borderId="13" xfId="18" applyFont="1" applyFill="1" applyBorder="1" applyAlignment="1">
      <alignment horizontal="center" vertical="center"/>
    </xf>
    <xf numFmtId="0" fontId="12" fillId="2" borderId="15" xfId="18" applyFont="1" applyFill="1" applyBorder="1" applyAlignment="1">
      <alignment horizontal="center" vertical="center"/>
    </xf>
    <xf numFmtId="0" fontId="12" fillId="0" borderId="13" xfId="18" applyFont="1" applyBorder="1" applyAlignment="1">
      <alignment horizontal="center" vertical="center"/>
    </xf>
    <xf numFmtId="0" fontId="12" fillId="0" borderId="15" xfId="18" applyFont="1" applyBorder="1" applyAlignment="1">
      <alignment horizontal="center" vertical="center"/>
    </xf>
    <xf numFmtId="0" fontId="12" fillId="0" borderId="13" xfId="18" applyFont="1" applyBorder="1" applyAlignment="1">
      <alignment horizontal="center" vertical="justify"/>
    </xf>
    <xf numFmtId="0" fontId="12" fillId="0" borderId="15" xfId="18" applyFont="1" applyBorder="1" applyAlignment="1">
      <alignment horizontal="center" vertical="justify"/>
    </xf>
    <xf numFmtId="164" fontId="2" fillId="0" borderId="0" xfId="14" applyFont="1" applyFill="1" applyAlignment="1">
      <alignment horizontal="center" vertical="center"/>
    </xf>
    <xf numFmtId="0" fontId="0" fillId="0" borderId="0" xfId="0" applyAlignment="1"/>
    <xf numFmtId="0" fontId="12" fillId="2" borderId="2" xfId="18" applyFont="1" applyFill="1" applyBorder="1" applyAlignment="1">
      <alignment horizontal="center" vertical="center"/>
    </xf>
  </cellXfs>
  <cellStyles count="22">
    <cellStyle name="20% - Ênfase1 100" xfId="1"/>
    <cellStyle name="60% - Ênfase6 37" xfId="2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_BuiltIn_Comma" xfId="7"/>
    <cellStyle name="Heading" xfId="8"/>
    <cellStyle name="Heading1" xfId="9"/>
    <cellStyle name="Hyperlink" xfId="21" builtinId="8"/>
    <cellStyle name="Moeda" xfId="17" builtinId="4"/>
    <cellStyle name="Moeda 2" xfId="20"/>
    <cellStyle name="Normal" xfId="0" builtinId="0"/>
    <cellStyle name="Normal 2" xfId="10"/>
    <cellStyle name="Normal_FACULDADE UEG Orçamento + Cronograma + Memória" xfId="18"/>
    <cellStyle name="Porcentagem 2" xfId="11"/>
    <cellStyle name="Porcentagem_FACULDADE UEG Orçamento + Cronograma + Memória" xfId="19"/>
    <cellStyle name="Result" xfId="12"/>
    <cellStyle name="Result2" xfId="13"/>
    <cellStyle name="Separador de milhares" xfId="14" builtinId="3"/>
    <cellStyle name="Separador de milhares 2" xfId="15"/>
    <cellStyle name="Separador de milhares 4" xfId="16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482973</xdr:colOff>
      <xdr:row>1</xdr:row>
      <xdr:rowOff>122143</xdr:rowOff>
    </xdr:from>
    <xdr:to>
      <xdr:col>5</xdr:col>
      <xdr:colOff>437029</xdr:colOff>
      <xdr:row>8</xdr:row>
      <xdr:rowOff>3956</xdr:rowOff>
    </xdr:to>
    <xdr:pic>
      <xdr:nvPicPr>
        <xdr:cNvPr id="7" name="Imagem 1" descr="logo conjunt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1532" y="1847849"/>
          <a:ext cx="5456144" cy="979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140074</xdr:colOff>
      <xdr:row>0</xdr:row>
      <xdr:rowOff>117662</xdr:rowOff>
    </xdr:from>
    <xdr:to>
      <xdr:col>15</xdr:col>
      <xdr:colOff>601755</xdr:colOff>
      <xdr:row>6</xdr:row>
      <xdr:rowOff>56589</xdr:rowOff>
    </xdr:to>
    <xdr:pic>
      <xdr:nvPicPr>
        <xdr:cNvPr id="3" name="Imagem 1" descr="logo conjunt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21674" y="117662"/>
          <a:ext cx="5948081" cy="1024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J438"/>
  <sheetViews>
    <sheetView showGridLines="0" view="pageBreakPreview" zoomScale="85" zoomScaleNormal="85" zoomScaleSheetLayoutView="85" workbookViewId="0">
      <selection activeCell="D410" sqref="D410"/>
    </sheetView>
  </sheetViews>
  <sheetFormatPr defaultRowHeight="12.75" outlineLevelRow="1"/>
  <cols>
    <col min="1" max="1" width="8.625" style="6" customWidth="1"/>
    <col min="2" max="2" width="9.875" style="6" customWidth="1"/>
    <col min="3" max="3" width="10" style="6" customWidth="1"/>
    <col min="4" max="4" width="65.875" style="7" customWidth="1"/>
    <col min="5" max="5" width="6.25" style="5" customWidth="1"/>
    <col min="6" max="6" width="8.375" style="58" bestFit="1" customWidth="1"/>
    <col min="7" max="7" width="10.125" style="8" customWidth="1"/>
    <col min="8" max="8" width="14.5" style="1" customWidth="1"/>
    <col min="9" max="9" width="11.125" style="1" customWidth="1"/>
    <col min="10" max="10" width="10.625" style="1" customWidth="1"/>
    <col min="11" max="16384" width="9" style="1"/>
  </cols>
  <sheetData>
    <row r="9" spans="1:10" ht="15" customHeight="1">
      <c r="A9" s="106" t="s">
        <v>731</v>
      </c>
      <c r="B9" s="106"/>
      <c r="C9" s="106"/>
      <c r="D9" s="106"/>
      <c r="E9" s="106"/>
      <c r="F9" s="106"/>
      <c r="G9" s="106"/>
      <c r="H9" s="106"/>
      <c r="I9" s="106"/>
      <c r="J9" s="106"/>
    </row>
    <row r="10" spans="1:10" ht="14.25" customHeight="1">
      <c r="A10" s="106" t="s">
        <v>730</v>
      </c>
      <c r="B10" s="106"/>
      <c r="C10" s="106"/>
      <c r="D10" s="106"/>
      <c r="E10" s="106"/>
      <c r="F10" s="106"/>
      <c r="G10" s="106"/>
      <c r="H10" s="106"/>
      <c r="I10" s="106"/>
      <c r="J10" s="106"/>
    </row>
    <row r="11" spans="1:10" ht="14.25" customHeight="1">
      <c r="A11" s="106" t="s">
        <v>732</v>
      </c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0" ht="15" customHeight="1">
      <c r="A12" s="2"/>
      <c r="B12" s="2"/>
      <c r="C12" s="2"/>
      <c r="D12" s="89"/>
      <c r="E12" s="87"/>
      <c r="F12" s="150"/>
      <c r="G12" s="150"/>
      <c r="H12" s="3"/>
      <c r="I12" s="98"/>
      <c r="J12" s="2"/>
    </row>
    <row r="13" spans="1:10">
      <c r="A13" s="143" t="s">
        <v>285</v>
      </c>
      <c r="B13" s="143"/>
      <c r="C13" s="143"/>
      <c r="D13" s="143"/>
      <c r="E13" s="143"/>
      <c r="F13" s="143"/>
      <c r="G13" s="143"/>
      <c r="H13" s="143"/>
      <c r="I13" s="143"/>
      <c r="J13" s="143"/>
    </row>
    <row r="15" spans="1:10" ht="14.25" customHeight="1">
      <c r="A15" s="147" t="s">
        <v>126</v>
      </c>
      <c r="B15" s="148"/>
      <c r="C15" s="148"/>
      <c r="D15" s="148"/>
      <c r="E15" s="148"/>
      <c r="F15" s="148"/>
      <c r="G15" s="148"/>
      <c r="H15" s="149"/>
    </row>
    <row r="16" spans="1:10" ht="13.5" thickBot="1">
      <c r="A16" s="144"/>
      <c r="B16" s="145"/>
      <c r="C16" s="145"/>
      <c r="D16" s="145"/>
      <c r="E16" s="145"/>
      <c r="F16" s="145"/>
      <c r="G16" s="145"/>
      <c r="H16" s="146"/>
    </row>
    <row r="17" spans="1:10" ht="24.75" customHeight="1" thickBot="1">
      <c r="A17" s="50" t="s">
        <v>286</v>
      </c>
      <c r="B17" s="51" t="s">
        <v>287</v>
      </c>
      <c r="C17" s="51" t="s">
        <v>288</v>
      </c>
      <c r="D17" s="51" t="s">
        <v>289</v>
      </c>
      <c r="E17" s="51" t="s">
        <v>290</v>
      </c>
      <c r="F17" s="53" t="s">
        <v>291</v>
      </c>
      <c r="G17" s="88" t="s">
        <v>736</v>
      </c>
      <c r="H17" s="130" t="s">
        <v>292</v>
      </c>
      <c r="J17" s="26"/>
    </row>
    <row r="18" spans="1:10">
      <c r="A18" s="14"/>
      <c r="B18" s="14"/>
      <c r="C18" s="14"/>
      <c r="D18" s="21"/>
      <c r="E18" s="13"/>
      <c r="F18" s="54"/>
      <c r="G18" s="15"/>
      <c r="H18" s="12"/>
    </row>
    <row r="19" spans="1:10">
      <c r="A19" s="29">
        <v>1</v>
      </c>
      <c r="B19" s="29"/>
      <c r="C19" s="29"/>
      <c r="D19" s="30" t="s">
        <v>336</v>
      </c>
      <c r="E19" s="30"/>
      <c r="F19" s="31"/>
      <c r="G19" s="31"/>
      <c r="H19" s="32">
        <f>H25</f>
        <v>14352.201999999999</v>
      </c>
      <c r="I19" s="137"/>
      <c r="J19" s="137"/>
    </row>
    <row r="20" spans="1:10" outlineLevel="1">
      <c r="A20" s="14" t="s">
        <v>293</v>
      </c>
      <c r="B20" s="14" t="s">
        <v>337</v>
      </c>
      <c r="C20" s="33" t="s">
        <v>299</v>
      </c>
      <c r="D20" s="21" t="s">
        <v>338</v>
      </c>
      <c r="E20" s="13" t="s">
        <v>339</v>
      </c>
      <c r="F20" s="54">
        <f>4*2.5</f>
        <v>10</v>
      </c>
      <c r="G20" s="15">
        <v>239.9</v>
      </c>
      <c r="H20" s="18">
        <f>F20*G20</f>
        <v>2399</v>
      </c>
      <c r="J20" s="43"/>
    </row>
    <row r="21" spans="1:10" outlineLevel="1">
      <c r="A21" s="14" t="s">
        <v>340</v>
      </c>
      <c r="B21" s="34">
        <v>20400</v>
      </c>
      <c r="C21" s="35" t="s">
        <v>690</v>
      </c>
      <c r="D21" s="12" t="s">
        <v>341</v>
      </c>
      <c r="E21" s="13" t="s">
        <v>294</v>
      </c>
      <c r="F21" s="54">
        <v>1</v>
      </c>
      <c r="G21" s="15">
        <v>231.22</v>
      </c>
      <c r="H21" s="18">
        <f t="shared" ref="H21:H24" si="0">F21*G21</f>
        <v>231.22</v>
      </c>
      <c r="J21" s="43"/>
    </row>
    <row r="22" spans="1:10" outlineLevel="1">
      <c r="A22" s="14" t="s">
        <v>342</v>
      </c>
      <c r="B22" s="14" t="s">
        <v>343</v>
      </c>
      <c r="C22" s="33" t="s">
        <v>299</v>
      </c>
      <c r="D22" s="21" t="s">
        <v>344</v>
      </c>
      <c r="E22" s="13" t="s">
        <v>294</v>
      </c>
      <c r="F22" s="54">
        <v>1</v>
      </c>
      <c r="G22" s="15">
        <v>930.31</v>
      </c>
      <c r="H22" s="18">
        <f t="shared" si="0"/>
        <v>930.31</v>
      </c>
      <c r="J22" s="43"/>
    </row>
    <row r="23" spans="1:10" outlineLevel="1">
      <c r="A23" s="14" t="s">
        <v>345</v>
      </c>
      <c r="B23" s="14" t="s">
        <v>347</v>
      </c>
      <c r="C23" s="33" t="s">
        <v>299</v>
      </c>
      <c r="D23" s="20" t="s">
        <v>348</v>
      </c>
      <c r="E23" s="13" t="s">
        <v>339</v>
      </c>
      <c r="F23" s="54">
        <v>40</v>
      </c>
      <c r="G23" s="15">
        <v>172.22</v>
      </c>
      <c r="H23" s="18">
        <f t="shared" si="0"/>
        <v>6888.8</v>
      </c>
      <c r="J23" s="43"/>
    </row>
    <row r="24" spans="1:10" outlineLevel="1">
      <c r="A24" s="14" t="s">
        <v>346</v>
      </c>
      <c r="B24" s="14" t="s">
        <v>349</v>
      </c>
      <c r="C24" s="33" t="s">
        <v>299</v>
      </c>
      <c r="D24" s="21" t="s">
        <v>350</v>
      </c>
      <c r="E24" s="13" t="s">
        <v>339</v>
      </c>
      <c r="F24" s="54">
        <v>668.3</v>
      </c>
      <c r="G24" s="15">
        <v>5.84</v>
      </c>
      <c r="H24" s="18">
        <f t="shared" si="0"/>
        <v>3902.8719999999998</v>
      </c>
      <c r="J24" s="43"/>
    </row>
    <row r="25" spans="1:10" ht="12.75" customHeight="1" outlineLevel="1">
      <c r="A25" s="22" t="s">
        <v>749</v>
      </c>
      <c r="B25" s="22"/>
      <c r="C25" s="22"/>
      <c r="D25" s="23"/>
      <c r="E25" s="23"/>
      <c r="F25" s="37"/>
      <c r="G25" s="24"/>
      <c r="H25" s="25">
        <f>SUM(H20:H24)</f>
        <v>14352.201999999999</v>
      </c>
      <c r="J25" s="43"/>
    </row>
    <row r="26" spans="1:10">
      <c r="A26" s="14"/>
      <c r="B26" s="14"/>
      <c r="C26" s="14"/>
      <c r="D26" s="21"/>
      <c r="E26" s="13"/>
      <c r="F26" s="54"/>
      <c r="G26" s="15"/>
      <c r="H26" s="12"/>
      <c r="J26" s="43"/>
    </row>
    <row r="27" spans="1:10">
      <c r="A27" s="29">
        <v>2</v>
      </c>
      <c r="B27" s="29"/>
      <c r="C27" s="29"/>
      <c r="D27" s="30" t="s">
        <v>304</v>
      </c>
      <c r="E27" s="30"/>
      <c r="F27" s="84"/>
      <c r="G27" s="31"/>
      <c r="H27" s="32">
        <f>H34</f>
        <v>15891.719099999998</v>
      </c>
      <c r="J27" s="137"/>
    </row>
    <row r="28" spans="1:10" outlineLevel="1">
      <c r="A28" s="17" t="s">
        <v>295</v>
      </c>
      <c r="B28" s="17">
        <v>55835</v>
      </c>
      <c r="C28" s="17" t="s">
        <v>299</v>
      </c>
      <c r="D28" s="20" t="s">
        <v>306</v>
      </c>
      <c r="E28" s="19" t="s">
        <v>297</v>
      </c>
      <c r="F28" s="55">
        <v>225.6</v>
      </c>
      <c r="G28" s="15">
        <v>22.62</v>
      </c>
      <c r="H28" s="18">
        <f t="shared" ref="H28:H33" si="1">F28*G28</f>
        <v>5103.0720000000001</v>
      </c>
      <c r="J28" s="43"/>
    </row>
    <row r="29" spans="1:10" outlineLevel="1">
      <c r="A29" s="17" t="s">
        <v>351</v>
      </c>
      <c r="B29" s="17">
        <v>79478</v>
      </c>
      <c r="C29" s="17" t="s">
        <v>299</v>
      </c>
      <c r="D29" s="20" t="s">
        <v>308</v>
      </c>
      <c r="E29" s="19" t="s">
        <v>297</v>
      </c>
      <c r="F29" s="55">
        <v>137.63999999999999</v>
      </c>
      <c r="G29" s="15">
        <v>18.93</v>
      </c>
      <c r="H29" s="18">
        <f t="shared" si="1"/>
        <v>2605.5251999999996</v>
      </c>
      <c r="J29" s="43"/>
    </row>
    <row r="30" spans="1:10" outlineLevel="1">
      <c r="A30" s="17" t="s">
        <v>352</v>
      </c>
      <c r="B30" s="17">
        <v>5622</v>
      </c>
      <c r="C30" s="17" t="s">
        <v>299</v>
      </c>
      <c r="D30" s="20" t="s">
        <v>309</v>
      </c>
      <c r="E30" s="19" t="s">
        <v>300</v>
      </c>
      <c r="F30" s="55">
        <v>121.3</v>
      </c>
      <c r="G30" s="15">
        <v>2.13</v>
      </c>
      <c r="H30" s="18">
        <f t="shared" si="1"/>
        <v>258.36899999999997</v>
      </c>
      <c r="J30" s="43"/>
    </row>
    <row r="31" spans="1:10" outlineLevel="1">
      <c r="A31" s="17" t="s">
        <v>353</v>
      </c>
      <c r="B31" s="17">
        <v>53527</v>
      </c>
      <c r="C31" s="17" t="s">
        <v>299</v>
      </c>
      <c r="D31" s="20" t="s">
        <v>310</v>
      </c>
      <c r="E31" s="19" t="s">
        <v>297</v>
      </c>
      <c r="F31" s="55">
        <v>74.88</v>
      </c>
      <c r="G31" s="15">
        <v>26.85</v>
      </c>
      <c r="H31" s="18">
        <f t="shared" si="1"/>
        <v>2010.528</v>
      </c>
      <c r="J31" s="43"/>
    </row>
    <row r="32" spans="1:10" outlineLevel="1">
      <c r="A32" s="67" t="s">
        <v>801</v>
      </c>
      <c r="B32" s="67">
        <v>79473</v>
      </c>
      <c r="C32" s="67" t="s">
        <v>299</v>
      </c>
      <c r="D32" s="61" t="s">
        <v>800</v>
      </c>
      <c r="E32" s="70" t="s">
        <v>297</v>
      </c>
      <c r="F32" s="81">
        <v>1066.71</v>
      </c>
      <c r="G32" s="64">
        <v>5.19</v>
      </c>
      <c r="H32" s="65">
        <f t="shared" si="1"/>
        <v>5536.2249000000002</v>
      </c>
      <c r="J32" s="43"/>
    </row>
    <row r="33" spans="1:10" outlineLevel="1">
      <c r="A33" s="67" t="s">
        <v>802</v>
      </c>
      <c r="B33" s="67">
        <v>79472</v>
      </c>
      <c r="C33" s="67" t="s">
        <v>299</v>
      </c>
      <c r="D33" s="61" t="s">
        <v>799</v>
      </c>
      <c r="E33" s="70" t="s">
        <v>300</v>
      </c>
      <c r="F33" s="81">
        <v>900</v>
      </c>
      <c r="G33" s="64">
        <v>0.42</v>
      </c>
      <c r="H33" s="65">
        <f t="shared" si="1"/>
        <v>378</v>
      </c>
      <c r="J33" s="43"/>
    </row>
    <row r="34" spans="1:10" ht="12.75" customHeight="1" outlineLevel="1">
      <c r="A34" s="22" t="s">
        <v>749</v>
      </c>
      <c r="B34" s="22"/>
      <c r="C34" s="22"/>
      <c r="D34" s="23"/>
      <c r="E34" s="23"/>
      <c r="F34" s="37"/>
      <c r="G34" s="24"/>
      <c r="H34" s="25">
        <f>SUM(H28:H33)</f>
        <v>15891.719099999998</v>
      </c>
      <c r="J34" s="43"/>
    </row>
    <row r="35" spans="1:10">
      <c r="A35" s="14"/>
      <c r="B35" s="14"/>
      <c r="C35" s="14"/>
      <c r="D35" s="21"/>
      <c r="E35" s="13"/>
      <c r="F35" s="54"/>
      <c r="G35" s="15"/>
      <c r="H35" s="12"/>
      <c r="J35" s="43"/>
    </row>
    <row r="36" spans="1:10">
      <c r="A36" s="29">
        <v>3</v>
      </c>
      <c r="B36" s="29"/>
      <c r="C36" s="29"/>
      <c r="D36" s="30" t="s">
        <v>354</v>
      </c>
      <c r="E36" s="30"/>
      <c r="F36" s="84"/>
      <c r="G36" s="31"/>
      <c r="H36" s="32">
        <f>H50</f>
        <v>92099.330400000006</v>
      </c>
      <c r="J36" s="137"/>
    </row>
    <row r="37" spans="1:10" outlineLevel="1">
      <c r="A37" s="9" t="s">
        <v>296</v>
      </c>
      <c r="B37" s="9"/>
      <c r="C37" s="9"/>
      <c r="D37" s="11" t="s">
        <v>719</v>
      </c>
      <c r="E37" s="12"/>
      <c r="F37" s="15"/>
      <c r="G37" s="15"/>
      <c r="H37" s="12"/>
      <c r="J37" s="43"/>
    </row>
    <row r="38" spans="1:10" ht="13.5" outlineLevel="1">
      <c r="A38" s="14" t="s">
        <v>325</v>
      </c>
      <c r="B38" s="14" t="s">
        <v>313</v>
      </c>
      <c r="C38" s="17" t="s">
        <v>299</v>
      </c>
      <c r="D38" s="21" t="s">
        <v>720</v>
      </c>
      <c r="E38" s="13" t="s">
        <v>300</v>
      </c>
      <c r="F38" s="54">
        <v>57.57</v>
      </c>
      <c r="G38" s="15">
        <v>11.54</v>
      </c>
      <c r="H38" s="18">
        <f t="shared" ref="H38:H43" si="2">F38*G38</f>
        <v>664.3578</v>
      </c>
      <c r="J38" s="99"/>
    </row>
    <row r="39" spans="1:10" ht="13.5" outlineLevel="1">
      <c r="A39" s="14" t="s">
        <v>327</v>
      </c>
      <c r="B39" s="14">
        <v>5651</v>
      </c>
      <c r="C39" s="17" t="s">
        <v>299</v>
      </c>
      <c r="D39" s="21" t="s">
        <v>523</v>
      </c>
      <c r="E39" s="13" t="s">
        <v>300</v>
      </c>
      <c r="F39" s="54">
        <v>54.54</v>
      </c>
      <c r="G39" s="15">
        <v>33.590000000000003</v>
      </c>
      <c r="H39" s="18">
        <f t="shared" si="2"/>
        <v>1831.9986000000001</v>
      </c>
      <c r="J39" s="99"/>
    </row>
    <row r="40" spans="1:10" ht="25.5" outlineLevel="1">
      <c r="A40" s="14" t="s">
        <v>425</v>
      </c>
      <c r="B40" s="14" t="s">
        <v>316</v>
      </c>
      <c r="C40" s="17" t="s">
        <v>299</v>
      </c>
      <c r="D40" s="20" t="s">
        <v>726</v>
      </c>
      <c r="E40" s="13" t="s">
        <v>317</v>
      </c>
      <c r="F40" s="54">
        <v>232.4</v>
      </c>
      <c r="G40" s="15">
        <v>6.35</v>
      </c>
      <c r="H40" s="18">
        <f t="shared" si="2"/>
        <v>1475.74</v>
      </c>
      <c r="J40" s="99"/>
    </row>
    <row r="41" spans="1:10" ht="19.5" customHeight="1" outlineLevel="1">
      <c r="A41" s="14" t="s">
        <v>722</v>
      </c>
      <c r="B41" s="14" t="s">
        <v>721</v>
      </c>
      <c r="C41" s="17" t="s">
        <v>299</v>
      </c>
      <c r="D41" s="20" t="s">
        <v>727</v>
      </c>
      <c r="E41" s="13" t="s">
        <v>317</v>
      </c>
      <c r="F41" s="54">
        <v>436.1</v>
      </c>
      <c r="G41" s="15">
        <v>6.84</v>
      </c>
      <c r="H41" s="18">
        <f t="shared" si="2"/>
        <v>2982.924</v>
      </c>
      <c r="J41" s="99"/>
    </row>
    <row r="42" spans="1:10" ht="26.25" customHeight="1" outlineLevel="1">
      <c r="A42" s="14" t="s">
        <v>426</v>
      </c>
      <c r="B42" s="14" t="s">
        <v>724</v>
      </c>
      <c r="C42" s="17" t="s">
        <v>299</v>
      </c>
      <c r="D42" s="52" t="s">
        <v>725</v>
      </c>
      <c r="E42" s="13" t="s">
        <v>297</v>
      </c>
      <c r="F42" s="54">
        <v>32.700000000000003</v>
      </c>
      <c r="G42" s="15">
        <v>315.05</v>
      </c>
      <c r="H42" s="18">
        <f t="shared" si="2"/>
        <v>10302.135000000002</v>
      </c>
      <c r="J42" s="99"/>
    </row>
    <row r="43" spans="1:10" ht="29.25" customHeight="1" outlineLevel="1">
      <c r="A43" s="14" t="s">
        <v>723</v>
      </c>
      <c r="B43" s="14">
        <v>72819</v>
      </c>
      <c r="C43" s="17" t="s">
        <v>299</v>
      </c>
      <c r="D43" s="52" t="s">
        <v>728</v>
      </c>
      <c r="E43" s="13" t="s">
        <v>326</v>
      </c>
      <c r="F43" s="54">
        <f>132*7</f>
        <v>924</v>
      </c>
      <c r="G43" s="15">
        <v>52.28</v>
      </c>
      <c r="H43" s="18">
        <f t="shared" si="2"/>
        <v>48306.720000000001</v>
      </c>
      <c r="J43" s="99"/>
    </row>
    <row r="44" spans="1:10" outlineLevel="1">
      <c r="A44" s="9" t="s">
        <v>328</v>
      </c>
      <c r="B44" s="9"/>
      <c r="C44" s="9"/>
      <c r="D44" s="11" t="s">
        <v>804</v>
      </c>
      <c r="E44" s="12"/>
      <c r="F44" s="15"/>
      <c r="G44" s="15"/>
      <c r="H44" s="18"/>
      <c r="J44" s="43"/>
    </row>
    <row r="45" spans="1:10" outlineLevel="1">
      <c r="A45" s="14" t="s">
        <v>329</v>
      </c>
      <c r="B45" s="14" t="s">
        <v>313</v>
      </c>
      <c r="C45" s="17" t="s">
        <v>299</v>
      </c>
      <c r="D45" s="20" t="s">
        <v>429</v>
      </c>
      <c r="E45" s="13" t="s">
        <v>300</v>
      </c>
      <c r="F45" s="54">
        <f>0.7*0.7*72</f>
        <v>35.279999999999994</v>
      </c>
      <c r="G45" s="15">
        <v>11.54</v>
      </c>
      <c r="H45" s="18">
        <f>F45*G45</f>
        <v>407.13119999999992</v>
      </c>
      <c r="J45" s="43"/>
    </row>
    <row r="46" spans="1:10" outlineLevel="1">
      <c r="A46" s="14" t="s">
        <v>330</v>
      </c>
      <c r="B46" s="14">
        <v>5651</v>
      </c>
      <c r="C46" s="17" t="s">
        <v>299</v>
      </c>
      <c r="D46" s="21" t="s">
        <v>523</v>
      </c>
      <c r="E46" s="13" t="s">
        <v>300</v>
      </c>
      <c r="F46" s="54">
        <v>351</v>
      </c>
      <c r="G46" s="15">
        <v>33.590000000000003</v>
      </c>
      <c r="H46" s="18">
        <f>F46*G46</f>
        <v>11790.090000000002</v>
      </c>
      <c r="J46" s="43"/>
    </row>
    <row r="47" spans="1:10" ht="25.5" outlineLevel="1">
      <c r="A47" s="14" t="s">
        <v>427</v>
      </c>
      <c r="B47" s="14" t="s">
        <v>316</v>
      </c>
      <c r="C47" s="17" t="s">
        <v>299</v>
      </c>
      <c r="D47" s="20" t="s">
        <v>524</v>
      </c>
      <c r="E47" s="13" t="s">
        <v>317</v>
      </c>
      <c r="F47" s="54">
        <v>721.18</v>
      </c>
      <c r="G47" s="15">
        <v>6.35</v>
      </c>
      <c r="H47" s="18">
        <f>F47*G47</f>
        <v>4579.4929999999995</v>
      </c>
      <c r="J47" s="43"/>
    </row>
    <row r="48" spans="1:10" ht="25.5" outlineLevel="1">
      <c r="A48" s="14"/>
      <c r="B48" s="14" t="s">
        <v>318</v>
      </c>
      <c r="C48" s="17" t="s">
        <v>299</v>
      </c>
      <c r="D48" s="20" t="s">
        <v>525</v>
      </c>
      <c r="E48" s="13" t="s">
        <v>317</v>
      </c>
      <c r="F48" s="54">
        <v>312.45</v>
      </c>
      <c r="G48" s="15">
        <v>6.84</v>
      </c>
      <c r="H48" s="18">
        <f>F48*G48</f>
        <v>2137.1579999999999</v>
      </c>
      <c r="J48" s="43"/>
    </row>
    <row r="49" spans="1:10" outlineLevel="1">
      <c r="A49" s="14" t="s">
        <v>428</v>
      </c>
      <c r="B49" s="14" t="s">
        <v>319</v>
      </c>
      <c r="C49" s="17" t="s">
        <v>299</v>
      </c>
      <c r="D49" s="52" t="s">
        <v>430</v>
      </c>
      <c r="E49" s="13" t="s">
        <v>297</v>
      </c>
      <c r="F49" s="54">
        <v>22.62</v>
      </c>
      <c r="G49" s="15">
        <v>336.94</v>
      </c>
      <c r="H49" s="18">
        <f>F49*G49</f>
        <v>7621.5828000000001</v>
      </c>
      <c r="J49" s="43"/>
    </row>
    <row r="50" spans="1:10" ht="12" customHeight="1" outlineLevel="1">
      <c r="A50" s="22" t="s">
        <v>749</v>
      </c>
      <c r="B50" s="22"/>
      <c r="C50" s="22"/>
      <c r="D50" s="23"/>
      <c r="E50" s="23"/>
      <c r="F50" s="24"/>
      <c r="G50" s="24"/>
      <c r="H50" s="25">
        <f>SUM(H38:H49)</f>
        <v>92099.330400000006</v>
      </c>
      <c r="J50" s="43"/>
    </row>
    <row r="51" spans="1:10">
      <c r="A51" s="14"/>
      <c r="B51" s="14"/>
      <c r="C51" s="14"/>
      <c r="D51" s="21"/>
      <c r="E51" s="13"/>
      <c r="F51" s="54"/>
      <c r="G51" s="15"/>
      <c r="H51" s="18"/>
      <c r="J51" s="43"/>
    </row>
    <row r="52" spans="1:10">
      <c r="A52" s="29">
        <v>4</v>
      </c>
      <c r="B52" s="29"/>
      <c r="C52" s="29"/>
      <c r="D52" s="30" t="s">
        <v>355</v>
      </c>
      <c r="E52" s="30"/>
      <c r="F52" s="31"/>
      <c r="G52" s="31"/>
      <c r="H52" s="32">
        <f>H70</f>
        <v>110864.27433499998</v>
      </c>
      <c r="J52" s="137"/>
    </row>
    <row r="53" spans="1:10" outlineLevel="1">
      <c r="A53" s="9" t="s">
        <v>298</v>
      </c>
      <c r="B53" s="9"/>
      <c r="C53" s="9"/>
      <c r="D53" s="11" t="s">
        <v>432</v>
      </c>
      <c r="E53" s="12"/>
      <c r="F53" s="15"/>
      <c r="G53" s="15"/>
      <c r="H53" s="12"/>
      <c r="J53" s="43"/>
    </row>
    <row r="54" spans="1:10" outlineLevel="1">
      <c r="A54" s="14" t="s">
        <v>356</v>
      </c>
      <c r="B54" s="14">
        <v>72830</v>
      </c>
      <c r="C54" s="17" t="s">
        <v>299</v>
      </c>
      <c r="D54" s="21" t="s">
        <v>435</v>
      </c>
      <c r="E54" s="13" t="s">
        <v>300</v>
      </c>
      <c r="F54" s="15">
        <v>219.91</v>
      </c>
      <c r="G54" s="15">
        <v>23.28</v>
      </c>
      <c r="H54" s="18">
        <f>F54*G54</f>
        <v>5119.5048000000006</v>
      </c>
      <c r="J54" s="43"/>
    </row>
    <row r="55" spans="1:10" ht="25.5" outlineLevel="1">
      <c r="A55" s="14" t="s">
        <v>529</v>
      </c>
      <c r="B55" s="14" t="s">
        <v>316</v>
      </c>
      <c r="C55" s="17" t="s">
        <v>299</v>
      </c>
      <c r="D55" s="20" t="s">
        <v>524</v>
      </c>
      <c r="E55" s="13" t="s">
        <v>317</v>
      </c>
      <c r="F55" s="15">
        <v>605.4</v>
      </c>
      <c r="G55" s="15">
        <v>6.35</v>
      </c>
      <c r="H55" s="18">
        <f>F55*G55</f>
        <v>3844.2899999999995</v>
      </c>
      <c r="J55" s="43"/>
    </row>
    <row r="56" spans="1:10" ht="25.5" outlineLevel="1">
      <c r="A56" s="14" t="s">
        <v>530</v>
      </c>
      <c r="B56" s="14" t="s">
        <v>318</v>
      </c>
      <c r="C56" s="17" t="s">
        <v>299</v>
      </c>
      <c r="D56" s="20" t="s">
        <v>525</v>
      </c>
      <c r="E56" s="13" t="s">
        <v>317</v>
      </c>
      <c r="F56" s="15">
        <v>283.89999999999998</v>
      </c>
      <c r="G56" s="15">
        <v>6.84</v>
      </c>
      <c r="H56" s="18">
        <f>F56*G56</f>
        <v>1941.8759999999997</v>
      </c>
      <c r="J56" s="43"/>
    </row>
    <row r="57" spans="1:10" ht="17.25" customHeight="1" outlineLevel="1">
      <c r="A57" s="14" t="s">
        <v>531</v>
      </c>
      <c r="B57" s="14" t="s">
        <v>319</v>
      </c>
      <c r="C57" s="17" t="s">
        <v>299</v>
      </c>
      <c r="D57" s="20" t="s">
        <v>431</v>
      </c>
      <c r="E57" s="13" t="s">
        <v>297</v>
      </c>
      <c r="F57" s="54">
        <v>11.01</v>
      </c>
      <c r="G57" s="15">
        <v>336.94</v>
      </c>
      <c r="H57" s="18">
        <f>F57*G57</f>
        <v>3709.7093999999997</v>
      </c>
      <c r="J57" s="43"/>
    </row>
    <row r="58" spans="1:10" outlineLevel="1">
      <c r="A58" s="9" t="s">
        <v>301</v>
      </c>
      <c r="B58" s="9"/>
      <c r="C58" s="9"/>
      <c r="D58" s="11" t="s">
        <v>433</v>
      </c>
      <c r="E58" s="12"/>
      <c r="F58" s="15"/>
      <c r="G58" s="15"/>
      <c r="H58" s="12"/>
      <c r="J58" s="43"/>
    </row>
    <row r="59" spans="1:10" ht="25.5" outlineLevel="1">
      <c r="A59" s="14" t="s">
        <v>357</v>
      </c>
      <c r="B59" s="14" t="s">
        <v>526</v>
      </c>
      <c r="C59" s="17" t="s">
        <v>299</v>
      </c>
      <c r="D59" s="52" t="s">
        <v>528</v>
      </c>
      <c r="E59" s="13" t="s">
        <v>300</v>
      </c>
      <c r="F59" s="15">
        <v>460.4</v>
      </c>
      <c r="G59" s="15">
        <v>48.61</v>
      </c>
      <c r="H59" s="18">
        <f>F59*G59</f>
        <v>22380.043999999998</v>
      </c>
      <c r="J59" s="43"/>
    </row>
    <row r="60" spans="1:10" ht="25.5" outlineLevel="1">
      <c r="A60" s="14" t="s">
        <v>358</v>
      </c>
      <c r="B60" s="14" t="s">
        <v>316</v>
      </c>
      <c r="C60" s="17" t="s">
        <v>299</v>
      </c>
      <c r="D60" s="20" t="s">
        <v>524</v>
      </c>
      <c r="E60" s="13" t="s">
        <v>317</v>
      </c>
      <c r="F60" s="15">
        <v>896.18</v>
      </c>
      <c r="G60" s="15">
        <v>6.35</v>
      </c>
      <c r="H60" s="18">
        <f>F60*G60</f>
        <v>5690.7429999999995</v>
      </c>
      <c r="J60" s="43"/>
    </row>
    <row r="61" spans="1:10" ht="25.5" outlineLevel="1">
      <c r="A61" s="14" t="s">
        <v>359</v>
      </c>
      <c r="B61" s="14" t="s">
        <v>318</v>
      </c>
      <c r="C61" s="17" t="s">
        <v>299</v>
      </c>
      <c r="D61" s="20" t="s">
        <v>525</v>
      </c>
      <c r="E61" s="13" t="s">
        <v>317</v>
      </c>
      <c r="F61" s="15">
        <v>419.82</v>
      </c>
      <c r="G61" s="15">
        <v>6.84</v>
      </c>
      <c r="H61" s="18">
        <f>F61*G61</f>
        <v>2871.5688</v>
      </c>
      <c r="J61" s="43"/>
    </row>
    <row r="62" spans="1:10" outlineLevel="1">
      <c r="A62" s="14" t="s">
        <v>532</v>
      </c>
      <c r="B62" s="14" t="s">
        <v>319</v>
      </c>
      <c r="C62" s="17" t="s">
        <v>299</v>
      </c>
      <c r="D62" s="20" t="s">
        <v>431</v>
      </c>
      <c r="E62" s="13" t="s">
        <v>297</v>
      </c>
      <c r="F62" s="54">
        <v>28.27</v>
      </c>
      <c r="G62" s="15">
        <v>336.94</v>
      </c>
      <c r="H62" s="18">
        <f>F62*G62</f>
        <v>9525.2937999999995</v>
      </c>
      <c r="J62" s="43"/>
    </row>
    <row r="63" spans="1:10" s="27" customFormat="1" outlineLevel="1">
      <c r="A63" s="10" t="s">
        <v>302</v>
      </c>
      <c r="B63" s="10"/>
      <c r="C63" s="10"/>
      <c r="D63" s="11" t="s">
        <v>434</v>
      </c>
      <c r="E63" s="12"/>
      <c r="F63" s="44"/>
      <c r="G63" s="45"/>
      <c r="H63" s="46"/>
      <c r="I63" s="1"/>
      <c r="J63" s="43"/>
    </row>
    <row r="64" spans="1:10" s="27" customFormat="1" ht="25.5" outlineLevel="1">
      <c r="A64" s="13" t="s">
        <v>361</v>
      </c>
      <c r="B64" s="14" t="s">
        <v>526</v>
      </c>
      <c r="C64" s="13" t="s">
        <v>299</v>
      </c>
      <c r="D64" s="52" t="s">
        <v>527</v>
      </c>
      <c r="E64" s="13" t="s">
        <v>300</v>
      </c>
      <c r="F64" s="136">
        <v>536.16</v>
      </c>
      <c r="G64" s="45">
        <v>48.61</v>
      </c>
      <c r="H64" s="18">
        <f>F64*G64</f>
        <v>26062.737599999997</v>
      </c>
      <c r="I64" s="1"/>
      <c r="J64" s="43"/>
    </row>
    <row r="65" spans="1:10" s="27" customFormat="1" ht="25.5" outlineLevel="1">
      <c r="A65" s="13" t="s">
        <v>535</v>
      </c>
      <c r="B65" s="13" t="s">
        <v>316</v>
      </c>
      <c r="C65" s="13" t="s">
        <v>299</v>
      </c>
      <c r="D65" s="20" t="s">
        <v>524</v>
      </c>
      <c r="E65" s="13" t="s">
        <v>317</v>
      </c>
      <c r="F65" s="44">
        <v>1245.51</v>
      </c>
      <c r="G65" s="15">
        <v>6.35</v>
      </c>
      <c r="H65" s="18">
        <f>F65*G65</f>
        <v>7908.9884999999995</v>
      </c>
      <c r="I65" s="1"/>
      <c r="J65" s="43"/>
    </row>
    <row r="66" spans="1:10" s="27" customFormat="1" ht="25.5" outlineLevel="1">
      <c r="A66" s="13" t="s">
        <v>536</v>
      </c>
      <c r="B66" s="13" t="s">
        <v>318</v>
      </c>
      <c r="C66" s="13" t="s">
        <v>299</v>
      </c>
      <c r="D66" s="20" t="s">
        <v>525</v>
      </c>
      <c r="E66" s="13" t="s">
        <v>317</v>
      </c>
      <c r="F66" s="44">
        <v>860.67</v>
      </c>
      <c r="G66" s="15">
        <v>6.84</v>
      </c>
      <c r="H66" s="18">
        <f>F66*G66</f>
        <v>5886.9827999999998</v>
      </c>
      <c r="I66" s="1"/>
      <c r="J66" s="43"/>
    </row>
    <row r="67" spans="1:10" s="27" customFormat="1" outlineLevel="1">
      <c r="A67" s="13" t="s">
        <v>537</v>
      </c>
      <c r="B67" s="13" t="s">
        <v>319</v>
      </c>
      <c r="C67" s="13" t="s">
        <v>299</v>
      </c>
      <c r="D67" s="20" t="s">
        <v>431</v>
      </c>
      <c r="E67" s="13" t="s">
        <v>297</v>
      </c>
      <c r="F67" s="44">
        <v>42.07</v>
      </c>
      <c r="G67" s="15">
        <v>336.94</v>
      </c>
      <c r="H67" s="18">
        <f>F67*G67</f>
        <v>14175.0658</v>
      </c>
      <c r="I67" s="1"/>
      <c r="J67" s="43"/>
    </row>
    <row r="68" spans="1:10" outlineLevel="1">
      <c r="A68" s="9" t="s">
        <v>533</v>
      </c>
      <c r="B68" s="9"/>
      <c r="C68" s="9"/>
      <c r="D68" s="11" t="s">
        <v>360</v>
      </c>
      <c r="E68" s="12"/>
      <c r="F68" s="15"/>
      <c r="G68" s="15"/>
      <c r="H68" s="18"/>
      <c r="J68" s="43"/>
    </row>
    <row r="69" spans="1:10" outlineLevel="1">
      <c r="A69" s="14" t="s">
        <v>534</v>
      </c>
      <c r="B69" s="14">
        <v>73499</v>
      </c>
      <c r="C69" s="14" t="s">
        <v>299</v>
      </c>
      <c r="D69" s="20" t="s">
        <v>362</v>
      </c>
      <c r="E69" s="13" t="s">
        <v>297</v>
      </c>
      <c r="F69" s="54">
        <f>114.3*0.15*0.1</f>
        <v>1.7145000000000001</v>
      </c>
      <c r="G69" s="15">
        <v>1019.23</v>
      </c>
      <c r="H69" s="18">
        <f>F69*G69</f>
        <v>1747.4698350000001</v>
      </c>
      <c r="J69" s="43"/>
    </row>
    <row r="70" spans="1:10" ht="12.75" customHeight="1" outlineLevel="1">
      <c r="A70" s="22" t="s">
        <v>749</v>
      </c>
      <c r="B70" s="22"/>
      <c r="C70" s="22"/>
      <c r="D70" s="23"/>
      <c r="E70" s="23"/>
      <c r="F70" s="24"/>
      <c r="G70" s="24"/>
      <c r="H70" s="25">
        <f>SUM(H54:H69)</f>
        <v>110864.27433499998</v>
      </c>
      <c r="J70" s="43"/>
    </row>
    <row r="71" spans="1:10">
      <c r="A71" s="14"/>
      <c r="B71" s="14"/>
      <c r="C71" s="14"/>
      <c r="D71" s="21"/>
      <c r="E71" s="13"/>
      <c r="F71" s="54"/>
      <c r="G71" s="15"/>
      <c r="H71" s="12"/>
      <c r="J71" s="43"/>
    </row>
    <row r="72" spans="1:10">
      <c r="A72" s="29">
        <v>5</v>
      </c>
      <c r="B72" s="29"/>
      <c r="C72" s="29"/>
      <c r="D72" s="30" t="s">
        <v>363</v>
      </c>
      <c r="E72" s="30"/>
      <c r="F72" s="31"/>
      <c r="G72" s="31"/>
      <c r="H72" s="32">
        <f>H81</f>
        <v>43147.758600000001</v>
      </c>
      <c r="J72" s="137"/>
    </row>
    <row r="73" spans="1:10" outlineLevel="1">
      <c r="A73" s="22" t="s">
        <v>303</v>
      </c>
      <c r="B73" s="22"/>
      <c r="C73" s="22"/>
      <c r="D73" s="28" t="s">
        <v>364</v>
      </c>
      <c r="E73" s="19"/>
      <c r="F73" s="55"/>
      <c r="G73" s="15"/>
      <c r="H73" s="36"/>
      <c r="J73" s="43"/>
    </row>
    <row r="74" spans="1:10" ht="25.5" outlineLevel="1">
      <c r="A74" s="17" t="s">
        <v>305</v>
      </c>
      <c r="B74" s="17">
        <v>100501</v>
      </c>
      <c r="C74" s="17" t="s">
        <v>690</v>
      </c>
      <c r="D74" s="20" t="s">
        <v>366</v>
      </c>
      <c r="E74" s="19" t="s">
        <v>300</v>
      </c>
      <c r="F74" s="55">
        <v>20.3</v>
      </c>
      <c r="G74" s="64">
        <v>75.66</v>
      </c>
      <c r="H74" s="18">
        <f>F74*G74</f>
        <v>1535.8979999999999</v>
      </c>
      <c r="J74" s="43"/>
    </row>
    <row r="75" spans="1:10" s="69" customFormat="1" ht="25.5" outlineLevel="1">
      <c r="A75" s="67" t="s">
        <v>307</v>
      </c>
      <c r="B75" s="17">
        <v>100501</v>
      </c>
      <c r="C75" s="17" t="s">
        <v>690</v>
      </c>
      <c r="D75" s="61" t="s">
        <v>367</v>
      </c>
      <c r="E75" s="70" t="s">
        <v>300</v>
      </c>
      <c r="F75" s="81">
        <v>25.85</v>
      </c>
      <c r="G75" s="64">
        <v>75.66</v>
      </c>
      <c r="H75" s="18">
        <f>F75*G75</f>
        <v>1955.8109999999999</v>
      </c>
      <c r="J75" s="66"/>
    </row>
    <row r="76" spans="1:10" outlineLevel="1">
      <c r="A76" s="22" t="s">
        <v>311</v>
      </c>
      <c r="B76" s="22"/>
      <c r="C76" s="22"/>
      <c r="D76" s="28" t="s">
        <v>368</v>
      </c>
      <c r="E76" s="19"/>
      <c r="F76" s="55"/>
      <c r="G76" s="15"/>
      <c r="H76" s="18"/>
      <c r="J76" s="43"/>
    </row>
    <row r="77" spans="1:10" ht="25.5" outlineLevel="1">
      <c r="A77" s="67" t="s">
        <v>312</v>
      </c>
      <c r="B77" s="67" t="s">
        <v>369</v>
      </c>
      <c r="C77" s="67" t="s">
        <v>299</v>
      </c>
      <c r="D77" s="61" t="s">
        <v>539</v>
      </c>
      <c r="E77" s="70" t="s">
        <v>300</v>
      </c>
      <c r="F77" s="81">
        <f>860.64</f>
        <v>860.64</v>
      </c>
      <c r="G77" s="15">
        <v>27.2</v>
      </c>
      <c r="H77" s="18">
        <f>F77*G77</f>
        <v>23409.407999999999</v>
      </c>
      <c r="J77" s="43"/>
    </row>
    <row r="78" spans="1:10" ht="25.5" outlineLevel="1">
      <c r="A78" s="17" t="s">
        <v>314</v>
      </c>
      <c r="B78" s="17" t="s">
        <v>370</v>
      </c>
      <c r="C78" s="17" t="s">
        <v>299</v>
      </c>
      <c r="D78" s="20" t="s">
        <v>540</v>
      </c>
      <c r="E78" s="19" t="s">
        <v>300</v>
      </c>
      <c r="F78" s="55">
        <v>72.180000000000007</v>
      </c>
      <c r="G78" s="15">
        <v>54.54</v>
      </c>
      <c r="H78" s="18">
        <f>F78*G78</f>
        <v>3936.6972000000005</v>
      </c>
      <c r="J78" s="43"/>
    </row>
    <row r="79" spans="1:10" ht="25.5" outlineLevel="1">
      <c r="A79" s="17"/>
      <c r="B79" s="17">
        <v>6113</v>
      </c>
      <c r="C79" s="17" t="s">
        <v>299</v>
      </c>
      <c r="D79" s="20" t="s">
        <v>538</v>
      </c>
      <c r="E79" s="19" t="s">
        <v>326</v>
      </c>
      <c r="F79" s="55">
        <v>277.12</v>
      </c>
      <c r="G79" s="15">
        <v>14.87</v>
      </c>
      <c r="H79" s="18">
        <f>F79*G79</f>
        <v>4120.7744000000002</v>
      </c>
      <c r="J79" s="43"/>
    </row>
    <row r="80" spans="1:10" ht="25.5" outlineLevel="1">
      <c r="A80" s="17" t="s">
        <v>315</v>
      </c>
      <c r="B80" s="17"/>
      <c r="C80" s="17" t="s">
        <v>299</v>
      </c>
      <c r="D80" s="20" t="s">
        <v>371</v>
      </c>
      <c r="E80" s="19" t="s">
        <v>300</v>
      </c>
      <c r="F80" s="55">
        <f>16.92+17.23</f>
        <v>34.150000000000006</v>
      </c>
      <c r="G80" s="15">
        <v>239.8</v>
      </c>
      <c r="H80" s="18">
        <f>F80*G80</f>
        <v>8189.1700000000019</v>
      </c>
      <c r="J80" s="43"/>
    </row>
    <row r="81" spans="1:10" ht="12.75" customHeight="1" outlineLevel="1">
      <c r="A81" s="22" t="s">
        <v>749</v>
      </c>
      <c r="B81" s="22"/>
      <c r="C81" s="22"/>
      <c r="D81" s="23"/>
      <c r="E81" s="23"/>
      <c r="F81" s="24"/>
      <c r="G81" s="24"/>
      <c r="H81" s="25">
        <f>SUM(H74:H80)</f>
        <v>43147.758600000001</v>
      </c>
      <c r="J81" s="43"/>
    </row>
    <row r="82" spans="1:10">
      <c r="A82" s="14"/>
      <c r="B82" s="14"/>
      <c r="C82" s="14"/>
      <c r="D82" s="20"/>
      <c r="E82" s="13"/>
      <c r="F82" s="54"/>
      <c r="G82" s="15"/>
      <c r="H82" s="12"/>
      <c r="J82" s="43"/>
    </row>
    <row r="83" spans="1:10">
      <c r="A83" s="29">
        <v>6</v>
      </c>
      <c r="B83" s="29"/>
      <c r="C83" s="29"/>
      <c r="D83" s="30" t="s">
        <v>372</v>
      </c>
      <c r="E83" s="30"/>
      <c r="F83" s="31"/>
      <c r="G83" s="31"/>
      <c r="H83" s="32">
        <f>H111</f>
        <v>56883.244000000006</v>
      </c>
      <c r="J83" s="137"/>
    </row>
    <row r="84" spans="1:10" outlineLevel="1">
      <c r="A84" s="9" t="s">
        <v>320</v>
      </c>
      <c r="B84" s="9"/>
      <c r="C84" s="9"/>
      <c r="D84" s="23" t="s">
        <v>451</v>
      </c>
      <c r="E84" s="23"/>
      <c r="F84" s="24"/>
      <c r="G84" s="79"/>
      <c r="H84" s="80"/>
      <c r="J84" s="43"/>
    </row>
    <row r="85" spans="1:10" s="69" customFormat="1" ht="25.5" outlineLevel="1">
      <c r="A85" s="17" t="s">
        <v>321</v>
      </c>
      <c r="B85" s="19" t="s">
        <v>825</v>
      </c>
      <c r="C85" s="19"/>
      <c r="D85" s="20" t="s">
        <v>437</v>
      </c>
      <c r="E85" s="19" t="s">
        <v>374</v>
      </c>
      <c r="F85" s="55">
        <v>9</v>
      </c>
      <c r="G85" s="64">
        <v>982.47</v>
      </c>
      <c r="H85" s="18">
        <f>F85*G85</f>
        <v>8842.23</v>
      </c>
      <c r="J85" s="66"/>
    </row>
    <row r="86" spans="1:10" s="69" customFormat="1" ht="25.5" outlineLevel="1">
      <c r="A86" s="17" t="s">
        <v>322</v>
      </c>
      <c r="B86" s="19" t="s">
        <v>825</v>
      </c>
      <c r="C86" s="19"/>
      <c r="D86" s="20" t="s">
        <v>436</v>
      </c>
      <c r="E86" s="19" t="s">
        <v>374</v>
      </c>
      <c r="F86" s="55">
        <v>6</v>
      </c>
      <c r="G86" s="64">
        <v>979.2</v>
      </c>
      <c r="H86" s="18">
        <f t="shared" ref="H86:H110" si="3">F86*G86</f>
        <v>5875.2000000000007</v>
      </c>
      <c r="J86" s="66"/>
    </row>
    <row r="87" spans="1:10" ht="25.5" outlineLevel="1">
      <c r="A87" s="17" t="s">
        <v>323</v>
      </c>
      <c r="B87" s="19" t="s">
        <v>614</v>
      </c>
      <c r="C87" s="19" t="s">
        <v>299</v>
      </c>
      <c r="D87" s="20" t="s">
        <v>543</v>
      </c>
      <c r="E87" s="19" t="s">
        <v>374</v>
      </c>
      <c r="F87" s="55">
        <v>2</v>
      </c>
      <c r="G87" s="15">
        <v>925.68</v>
      </c>
      <c r="H87" s="18">
        <f t="shared" si="3"/>
        <v>1851.36</v>
      </c>
      <c r="J87" s="43"/>
    </row>
    <row r="88" spans="1:10" ht="25.5" outlineLevel="1">
      <c r="A88" s="17" t="s">
        <v>324</v>
      </c>
      <c r="B88" s="17" t="s">
        <v>373</v>
      </c>
      <c r="C88" s="17" t="s">
        <v>299</v>
      </c>
      <c r="D88" s="20" t="s">
        <v>560</v>
      </c>
      <c r="E88" s="19" t="s">
        <v>374</v>
      </c>
      <c r="F88" s="55">
        <v>8</v>
      </c>
      <c r="G88" s="15">
        <v>349.97</v>
      </c>
      <c r="H88" s="18">
        <f t="shared" si="3"/>
        <v>2799.76</v>
      </c>
      <c r="J88" s="43"/>
    </row>
    <row r="89" spans="1:10" ht="25.5" outlineLevel="1">
      <c r="A89" s="17" t="s">
        <v>375</v>
      </c>
      <c r="B89" s="19" t="s">
        <v>615</v>
      </c>
      <c r="C89" s="19" t="s">
        <v>299</v>
      </c>
      <c r="D89" s="20" t="s">
        <v>561</v>
      </c>
      <c r="E89" s="19" t="s">
        <v>374</v>
      </c>
      <c r="F89" s="55">
        <v>1</v>
      </c>
      <c r="G89" s="15">
        <v>229.61</v>
      </c>
      <c r="H89" s="18">
        <f t="shared" si="3"/>
        <v>229.61</v>
      </c>
      <c r="J89" s="43"/>
    </row>
    <row r="90" spans="1:10" ht="25.5" outlineLevel="1">
      <c r="A90" s="17" t="s">
        <v>376</v>
      </c>
      <c r="B90" s="19" t="s">
        <v>377</v>
      </c>
      <c r="C90" s="19" t="s">
        <v>299</v>
      </c>
      <c r="D90" s="20" t="s">
        <v>541</v>
      </c>
      <c r="E90" s="19" t="s">
        <v>374</v>
      </c>
      <c r="F90" s="55">
        <v>5</v>
      </c>
      <c r="G90" s="15">
        <v>192.95</v>
      </c>
      <c r="H90" s="18">
        <f t="shared" si="3"/>
        <v>964.75</v>
      </c>
      <c r="J90" s="43"/>
    </row>
    <row r="91" spans="1:10" ht="25.5" outlineLevel="1">
      <c r="A91" s="17" t="s">
        <v>378</v>
      </c>
      <c r="B91" s="19" t="s">
        <v>377</v>
      </c>
      <c r="C91" s="19" t="s">
        <v>299</v>
      </c>
      <c r="D91" s="20" t="s">
        <v>542</v>
      </c>
      <c r="E91" s="19" t="s">
        <v>374</v>
      </c>
      <c r="F91" s="55">
        <v>6</v>
      </c>
      <c r="G91" s="15">
        <v>192.95</v>
      </c>
      <c r="H91" s="18">
        <f t="shared" si="3"/>
        <v>1157.6999999999998</v>
      </c>
      <c r="J91" s="43"/>
    </row>
    <row r="92" spans="1:10" outlineLevel="1">
      <c r="A92" s="22" t="s">
        <v>379</v>
      </c>
      <c r="B92" s="19"/>
      <c r="C92" s="19"/>
      <c r="D92" s="28" t="s">
        <v>609</v>
      </c>
      <c r="E92" s="19"/>
      <c r="F92" s="55"/>
      <c r="G92" s="15"/>
      <c r="H92" s="18"/>
      <c r="J92" s="43"/>
    </row>
    <row r="93" spans="1:10" outlineLevel="1">
      <c r="A93" s="17" t="s">
        <v>548</v>
      </c>
      <c r="B93" s="19" t="s">
        <v>544</v>
      </c>
      <c r="C93" s="19" t="s">
        <v>299</v>
      </c>
      <c r="D93" s="20" t="s">
        <v>545</v>
      </c>
      <c r="E93" s="19" t="s">
        <v>374</v>
      </c>
      <c r="F93" s="55">
        <v>20</v>
      </c>
      <c r="G93" s="15">
        <v>78.069999999999993</v>
      </c>
      <c r="H93" s="18">
        <f t="shared" si="3"/>
        <v>1561.3999999999999</v>
      </c>
      <c r="J93" s="43"/>
    </row>
    <row r="94" spans="1:10" outlineLevel="1">
      <c r="A94" s="17" t="s">
        <v>549</v>
      </c>
      <c r="B94" s="19" t="s">
        <v>546</v>
      </c>
      <c r="C94" s="19" t="s">
        <v>299</v>
      </c>
      <c r="D94" s="20" t="s">
        <v>547</v>
      </c>
      <c r="E94" s="19" t="s">
        <v>374</v>
      </c>
      <c r="F94" s="55">
        <v>6</v>
      </c>
      <c r="G94" s="15">
        <v>46.25</v>
      </c>
      <c r="H94" s="18">
        <f t="shared" si="3"/>
        <v>277.5</v>
      </c>
      <c r="J94" s="43"/>
    </row>
    <row r="95" spans="1:10" outlineLevel="1">
      <c r="A95" s="22" t="s">
        <v>550</v>
      </c>
      <c r="B95" s="19"/>
      <c r="C95" s="19"/>
      <c r="D95" s="28" t="s">
        <v>450</v>
      </c>
      <c r="E95" s="19"/>
      <c r="F95" s="55"/>
      <c r="G95" s="15"/>
      <c r="H95" s="18"/>
      <c r="J95" s="43"/>
    </row>
    <row r="96" spans="1:10" ht="25.5" outlineLevel="1">
      <c r="A96" s="17" t="s">
        <v>381</v>
      </c>
      <c r="B96" s="17" t="s">
        <v>127</v>
      </c>
      <c r="C96" s="17" t="s">
        <v>299</v>
      </c>
      <c r="D96" s="20" t="s">
        <v>443</v>
      </c>
      <c r="E96" s="19" t="s">
        <v>300</v>
      </c>
      <c r="F96" s="55">
        <f>2*0.8*2.1</f>
        <v>3.3600000000000003</v>
      </c>
      <c r="G96" s="15">
        <v>254.98</v>
      </c>
      <c r="H96" s="18">
        <f t="shared" si="3"/>
        <v>856.7328</v>
      </c>
      <c r="J96" s="43"/>
    </row>
    <row r="97" spans="1:10" ht="25.5" outlineLevel="1">
      <c r="A97" s="17" t="s">
        <v>382</v>
      </c>
      <c r="B97" s="17" t="s">
        <v>127</v>
      </c>
      <c r="C97" s="17" t="s">
        <v>299</v>
      </c>
      <c r="D97" s="20" t="s">
        <v>444</v>
      </c>
      <c r="E97" s="19" t="s">
        <v>300</v>
      </c>
      <c r="F97" s="55">
        <f>2*0.8*2.1</f>
        <v>3.3600000000000003</v>
      </c>
      <c r="G97" s="15">
        <v>254.98</v>
      </c>
      <c r="H97" s="18">
        <f t="shared" si="3"/>
        <v>856.7328</v>
      </c>
      <c r="J97" s="43"/>
    </row>
    <row r="98" spans="1:10" ht="25.5" outlineLevel="1">
      <c r="A98" s="17" t="s">
        <v>383</v>
      </c>
      <c r="B98" s="17" t="s">
        <v>127</v>
      </c>
      <c r="C98" s="17" t="s">
        <v>299</v>
      </c>
      <c r="D98" s="20" t="s">
        <v>445</v>
      </c>
      <c r="E98" s="19" t="s">
        <v>300</v>
      </c>
      <c r="F98" s="55">
        <f>1*0.6*2.1</f>
        <v>1.26</v>
      </c>
      <c r="G98" s="15">
        <v>254.98</v>
      </c>
      <c r="H98" s="18">
        <f t="shared" si="3"/>
        <v>321.27479999999997</v>
      </c>
      <c r="J98" s="43"/>
    </row>
    <row r="99" spans="1:10" ht="25.5" outlineLevel="1">
      <c r="A99" s="17" t="s">
        <v>384</v>
      </c>
      <c r="B99" s="17" t="s">
        <v>127</v>
      </c>
      <c r="C99" s="17" t="s">
        <v>299</v>
      </c>
      <c r="D99" s="20" t="s">
        <v>446</v>
      </c>
      <c r="E99" s="19" t="s">
        <v>300</v>
      </c>
      <c r="F99" s="55">
        <f>1*0.5*0.8</f>
        <v>0.4</v>
      </c>
      <c r="G99" s="15">
        <v>254.98</v>
      </c>
      <c r="H99" s="18">
        <f t="shared" si="3"/>
        <v>101.992</v>
      </c>
      <c r="J99" s="43"/>
    </row>
    <row r="100" spans="1:10" outlineLevel="1">
      <c r="A100" s="9" t="s">
        <v>551</v>
      </c>
      <c r="B100" s="9"/>
      <c r="C100" s="9"/>
      <c r="D100" s="23" t="s">
        <v>380</v>
      </c>
      <c r="E100" s="23"/>
      <c r="F100" s="24"/>
      <c r="G100" s="15"/>
      <c r="H100" s="18"/>
      <c r="J100" s="43"/>
    </row>
    <row r="101" spans="1:10" s="69" customFormat="1" ht="25.5" outlineLevel="1">
      <c r="A101" s="17" t="s">
        <v>552</v>
      </c>
      <c r="B101" s="17">
        <v>68052</v>
      </c>
      <c r="C101" s="17" t="s">
        <v>299</v>
      </c>
      <c r="D101" s="20" t="s">
        <v>438</v>
      </c>
      <c r="E101" s="19" t="s">
        <v>300</v>
      </c>
      <c r="F101" s="55">
        <f>37*0.6*0.6</f>
        <v>13.319999999999999</v>
      </c>
      <c r="G101" s="15">
        <v>389.07</v>
      </c>
      <c r="H101" s="18">
        <f t="shared" si="3"/>
        <v>5182.4123999999993</v>
      </c>
      <c r="J101" s="66"/>
    </row>
    <row r="102" spans="1:10" s="69" customFormat="1" ht="25.5" outlineLevel="1">
      <c r="A102" s="17" t="s">
        <v>553</v>
      </c>
      <c r="B102" s="17" t="s">
        <v>616</v>
      </c>
      <c r="C102" s="17" t="s">
        <v>299</v>
      </c>
      <c r="D102" s="20" t="s">
        <v>439</v>
      </c>
      <c r="E102" s="19" t="s">
        <v>300</v>
      </c>
      <c r="F102" s="55">
        <f>4*0.6*0.9</f>
        <v>2.16</v>
      </c>
      <c r="G102" s="15">
        <v>390.03</v>
      </c>
      <c r="H102" s="18">
        <f t="shared" si="3"/>
        <v>842.46479999999997</v>
      </c>
      <c r="J102" s="66"/>
    </row>
    <row r="103" spans="1:10" s="69" customFormat="1" ht="25.5" outlineLevel="1">
      <c r="A103" s="17" t="s">
        <v>554</v>
      </c>
      <c r="B103" s="17" t="s">
        <v>616</v>
      </c>
      <c r="C103" s="17" t="s">
        <v>299</v>
      </c>
      <c r="D103" s="20" t="s">
        <v>440</v>
      </c>
      <c r="E103" s="19" t="s">
        <v>300</v>
      </c>
      <c r="F103" s="55">
        <f>11*1.2*1.2</f>
        <v>15.839999999999998</v>
      </c>
      <c r="G103" s="15">
        <v>390.03</v>
      </c>
      <c r="H103" s="18">
        <f t="shared" si="3"/>
        <v>6178.0751999999984</v>
      </c>
      <c r="J103" s="66"/>
    </row>
    <row r="104" spans="1:10" s="69" customFormat="1" ht="25.5" outlineLevel="1">
      <c r="A104" s="17" t="s">
        <v>555</v>
      </c>
      <c r="B104" s="17" t="s">
        <v>616</v>
      </c>
      <c r="C104" s="17" t="s">
        <v>299</v>
      </c>
      <c r="D104" s="20" t="s">
        <v>441</v>
      </c>
      <c r="E104" s="19" t="s">
        <v>300</v>
      </c>
      <c r="F104" s="55">
        <f>1*1.8*1.2</f>
        <v>2.16</v>
      </c>
      <c r="G104" s="15">
        <v>390.03</v>
      </c>
      <c r="H104" s="18">
        <f t="shared" si="3"/>
        <v>842.46479999999997</v>
      </c>
      <c r="J104" s="66"/>
    </row>
    <row r="105" spans="1:10" s="69" customFormat="1" ht="25.5" outlineLevel="1">
      <c r="A105" s="17" t="s">
        <v>556</v>
      </c>
      <c r="B105" s="17" t="s">
        <v>616</v>
      </c>
      <c r="C105" s="17" t="s">
        <v>299</v>
      </c>
      <c r="D105" s="20" t="s">
        <v>442</v>
      </c>
      <c r="E105" s="19" t="s">
        <v>300</v>
      </c>
      <c r="F105" s="55">
        <f>12*1.8*1.6</f>
        <v>34.56</v>
      </c>
      <c r="G105" s="15">
        <v>390.03</v>
      </c>
      <c r="H105" s="18">
        <f t="shared" si="3"/>
        <v>13479.436799999999</v>
      </c>
      <c r="J105" s="66"/>
    </row>
    <row r="106" spans="1:10" outlineLevel="1">
      <c r="A106" s="67" t="s">
        <v>557</v>
      </c>
      <c r="B106" s="67">
        <v>7170</v>
      </c>
      <c r="C106" s="17" t="s">
        <v>299</v>
      </c>
      <c r="D106" s="61" t="s">
        <v>566</v>
      </c>
      <c r="E106" s="70" t="s">
        <v>300</v>
      </c>
      <c r="F106" s="81">
        <f>2.88+1.62</f>
        <v>4.5</v>
      </c>
      <c r="G106" s="64">
        <v>2</v>
      </c>
      <c r="H106" s="65">
        <f t="shared" si="3"/>
        <v>9</v>
      </c>
      <c r="J106" s="43"/>
    </row>
    <row r="107" spans="1:10" outlineLevel="1">
      <c r="A107" s="22" t="s">
        <v>128</v>
      </c>
      <c r="B107" s="22"/>
      <c r="C107" s="22"/>
      <c r="D107" s="28" t="s">
        <v>129</v>
      </c>
      <c r="E107" s="19"/>
      <c r="F107" s="55"/>
      <c r="G107" s="15"/>
      <c r="H107" s="18"/>
      <c r="J107" s="43"/>
    </row>
    <row r="108" spans="1:10" s="69" customFormat="1" outlineLevel="1">
      <c r="A108" s="17" t="s">
        <v>130</v>
      </c>
      <c r="B108" s="17">
        <v>72118</v>
      </c>
      <c r="C108" s="17" t="s">
        <v>299</v>
      </c>
      <c r="D108" s="20" t="s">
        <v>562</v>
      </c>
      <c r="E108" s="19" t="s">
        <v>300</v>
      </c>
      <c r="F108" s="55">
        <f>2.16+1.68</f>
        <v>3.84</v>
      </c>
      <c r="G108" s="15">
        <v>82.31</v>
      </c>
      <c r="H108" s="18">
        <f t="shared" si="3"/>
        <v>316.07040000000001</v>
      </c>
      <c r="J108" s="66"/>
    </row>
    <row r="109" spans="1:10" outlineLevel="1">
      <c r="A109" s="67" t="s">
        <v>558</v>
      </c>
      <c r="B109" s="67">
        <v>190104</v>
      </c>
      <c r="C109" s="67" t="s">
        <v>690</v>
      </c>
      <c r="D109" s="61" t="s">
        <v>565</v>
      </c>
      <c r="E109" s="70" t="s">
        <v>300</v>
      </c>
      <c r="F109" s="81">
        <f>52.56+13.32</f>
        <v>65.88</v>
      </c>
      <c r="G109" s="64">
        <v>49.3</v>
      </c>
      <c r="H109" s="65">
        <f t="shared" si="3"/>
        <v>3247.8839999999996</v>
      </c>
      <c r="J109" s="43"/>
    </row>
    <row r="110" spans="1:10" outlineLevel="1">
      <c r="A110" s="17" t="s">
        <v>559</v>
      </c>
      <c r="B110" s="17" t="s">
        <v>563</v>
      </c>
      <c r="C110" s="17" t="s">
        <v>299</v>
      </c>
      <c r="D110" s="20" t="s">
        <v>564</v>
      </c>
      <c r="E110" s="19" t="s">
        <v>300</v>
      </c>
      <c r="F110" s="55">
        <v>6.04</v>
      </c>
      <c r="G110" s="15">
        <v>180.33</v>
      </c>
      <c r="H110" s="18">
        <f t="shared" si="3"/>
        <v>1089.1932000000002</v>
      </c>
      <c r="J110" s="43"/>
    </row>
    <row r="111" spans="1:10" ht="12.75" customHeight="1" outlineLevel="1">
      <c r="A111" s="22" t="s">
        <v>749</v>
      </c>
      <c r="B111" s="22"/>
      <c r="C111" s="22"/>
      <c r="D111" s="23"/>
      <c r="E111" s="23"/>
      <c r="F111" s="24"/>
      <c r="G111" s="24"/>
      <c r="H111" s="25">
        <f>SUM(H85:H110)</f>
        <v>56883.244000000006</v>
      </c>
      <c r="J111" s="43"/>
    </row>
    <row r="112" spans="1:10">
      <c r="A112" s="14"/>
      <c r="B112" s="14"/>
      <c r="C112" s="14"/>
      <c r="D112" s="21"/>
      <c r="E112" s="13"/>
      <c r="F112" s="54"/>
      <c r="G112" s="15"/>
      <c r="H112" s="12"/>
      <c r="J112" s="43"/>
    </row>
    <row r="113" spans="1:10">
      <c r="A113" s="29">
        <v>7</v>
      </c>
      <c r="B113" s="29"/>
      <c r="C113" s="29"/>
      <c r="D113" s="30" t="s">
        <v>385</v>
      </c>
      <c r="E113" s="30"/>
      <c r="F113" s="31"/>
      <c r="G113" s="31"/>
      <c r="H113" s="32">
        <f>H117</f>
        <v>80241.703099999999</v>
      </c>
      <c r="J113" s="137"/>
    </row>
    <row r="114" spans="1:10" outlineLevel="1">
      <c r="A114" s="17" t="s">
        <v>331</v>
      </c>
      <c r="B114" s="17" t="s">
        <v>386</v>
      </c>
      <c r="C114" s="17" t="s">
        <v>299</v>
      </c>
      <c r="D114" s="20" t="s">
        <v>387</v>
      </c>
      <c r="E114" s="19" t="s">
        <v>300</v>
      </c>
      <c r="F114" s="55">
        <v>803.15</v>
      </c>
      <c r="G114" s="15">
        <v>52.69</v>
      </c>
      <c r="H114" s="18">
        <f t="shared" ref="H114:H116" si="4">F114*G114</f>
        <v>42317.9735</v>
      </c>
      <c r="J114" s="43"/>
    </row>
    <row r="115" spans="1:10" outlineLevel="1">
      <c r="A115" s="17" t="s">
        <v>332</v>
      </c>
      <c r="B115" s="17" t="s">
        <v>388</v>
      </c>
      <c r="C115" s="17" t="s">
        <v>299</v>
      </c>
      <c r="D115" s="20" t="s">
        <v>389</v>
      </c>
      <c r="E115" s="19" t="s">
        <v>300</v>
      </c>
      <c r="F115" s="55">
        <v>803.15</v>
      </c>
      <c r="G115" s="15">
        <v>45.72</v>
      </c>
      <c r="H115" s="18">
        <f t="shared" si="4"/>
        <v>36720.017999999996</v>
      </c>
      <c r="J115" s="43"/>
    </row>
    <row r="116" spans="1:10" outlineLevel="1">
      <c r="A116" s="17" t="s">
        <v>333</v>
      </c>
      <c r="B116" s="17" t="s">
        <v>390</v>
      </c>
      <c r="C116" s="17" t="s">
        <v>299</v>
      </c>
      <c r="D116" s="20" t="s">
        <v>391</v>
      </c>
      <c r="E116" s="19" t="s">
        <v>326</v>
      </c>
      <c r="F116" s="55">
        <v>220.46</v>
      </c>
      <c r="G116" s="15">
        <v>5.46</v>
      </c>
      <c r="H116" s="18">
        <f t="shared" si="4"/>
        <v>1203.7116000000001</v>
      </c>
      <c r="J116" s="43"/>
    </row>
    <row r="117" spans="1:10" ht="12.75" customHeight="1" outlineLevel="1">
      <c r="A117" s="22" t="s">
        <v>749</v>
      </c>
      <c r="B117" s="22"/>
      <c r="C117" s="22"/>
      <c r="D117" s="23"/>
      <c r="E117" s="23"/>
      <c r="F117" s="24"/>
      <c r="G117" s="24"/>
      <c r="H117" s="25">
        <f>SUM(H114:H116)</f>
        <v>80241.703099999999</v>
      </c>
      <c r="J117" s="43"/>
    </row>
    <row r="118" spans="1:10">
      <c r="A118" s="14"/>
      <c r="B118" s="14"/>
      <c r="C118" s="14"/>
      <c r="D118" s="21"/>
      <c r="E118" s="13"/>
      <c r="F118" s="54"/>
      <c r="G118" s="15"/>
      <c r="H118" s="12"/>
      <c r="J118" s="43"/>
    </row>
    <row r="119" spans="1:10">
      <c r="A119" s="29">
        <v>8</v>
      </c>
      <c r="B119" s="29"/>
      <c r="C119" s="29"/>
      <c r="D119" s="30" t="s">
        <v>392</v>
      </c>
      <c r="E119" s="30"/>
      <c r="F119" s="31"/>
      <c r="G119" s="31"/>
      <c r="H119" s="32">
        <f>H122</f>
        <v>8956.5046000000002</v>
      </c>
      <c r="J119" s="137"/>
    </row>
    <row r="120" spans="1:10" outlineLevel="1">
      <c r="A120" s="17" t="s">
        <v>334</v>
      </c>
      <c r="B120" s="17" t="s">
        <v>393</v>
      </c>
      <c r="C120" s="17" t="s">
        <v>299</v>
      </c>
      <c r="D120" s="20" t="s">
        <v>394</v>
      </c>
      <c r="E120" s="19" t="s">
        <v>300</v>
      </c>
      <c r="F120" s="55">
        <v>148.52000000000001</v>
      </c>
      <c r="G120" s="15">
        <v>5.23</v>
      </c>
      <c r="H120" s="18">
        <f t="shared" ref="H120:H121" si="5">F120*G120</f>
        <v>776.75960000000009</v>
      </c>
      <c r="J120" s="43"/>
    </row>
    <row r="121" spans="1:10" outlineLevel="1">
      <c r="A121" s="17" t="s">
        <v>335</v>
      </c>
      <c r="B121" s="17" t="s">
        <v>567</v>
      </c>
      <c r="C121" s="17" t="s">
        <v>299</v>
      </c>
      <c r="D121" s="20" t="s">
        <v>395</v>
      </c>
      <c r="E121" s="19" t="s">
        <v>326</v>
      </c>
      <c r="F121" s="55">
        <v>317.66000000000003</v>
      </c>
      <c r="G121" s="15">
        <v>25.75</v>
      </c>
      <c r="H121" s="18">
        <f t="shared" si="5"/>
        <v>8179.7450000000008</v>
      </c>
      <c r="J121" s="43"/>
    </row>
    <row r="122" spans="1:10" ht="12.75" customHeight="1" outlineLevel="1">
      <c r="A122" s="22" t="s">
        <v>749</v>
      </c>
      <c r="B122" s="22"/>
      <c r="C122" s="22"/>
      <c r="D122" s="23"/>
      <c r="E122" s="23"/>
      <c r="F122" s="24"/>
      <c r="G122" s="24"/>
      <c r="H122" s="25">
        <f>SUM(H120:H121)</f>
        <v>8956.5046000000002</v>
      </c>
      <c r="J122" s="43"/>
    </row>
    <row r="123" spans="1:10">
      <c r="A123" s="14"/>
      <c r="B123" s="14"/>
      <c r="C123" s="14"/>
      <c r="D123" s="21"/>
      <c r="E123" s="13"/>
      <c r="F123" s="54"/>
      <c r="G123" s="15"/>
      <c r="H123" s="12"/>
      <c r="J123" s="43"/>
    </row>
    <row r="124" spans="1:10">
      <c r="A124" s="29">
        <v>9</v>
      </c>
      <c r="B124" s="29"/>
      <c r="C124" s="29"/>
      <c r="D124" s="30" t="s">
        <v>396</v>
      </c>
      <c r="E124" s="30"/>
      <c r="F124" s="31"/>
      <c r="G124" s="31"/>
      <c r="H124" s="32">
        <f>H132</f>
        <v>70312.179799999998</v>
      </c>
      <c r="J124" s="137"/>
    </row>
    <row r="125" spans="1:10" ht="25.5" outlineLevel="1">
      <c r="A125" s="17" t="s">
        <v>397</v>
      </c>
      <c r="B125" s="17">
        <v>5974</v>
      </c>
      <c r="C125" s="17" t="s">
        <v>299</v>
      </c>
      <c r="D125" s="20" t="s">
        <v>456</v>
      </c>
      <c r="E125" s="19" t="s">
        <v>300</v>
      </c>
      <c r="F125" s="55">
        <f>1186.88-F127+400.12-92.99+348.7+(4.05*11*0.2*4)</f>
        <v>956.3950000000001</v>
      </c>
      <c r="G125" s="15">
        <v>3.08</v>
      </c>
      <c r="H125" s="18">
        <f t="shared" ref="H125:H131" si="6">F125*G125</f>
        <v>2945.6966000000002</v>
      </c>
      <c r="J125" s="43"/>
    </row>
    <row r="126" spans="1:10" outlineLevel="1">
      <c r="A126" s="17" t="s">
        <v>398</v>
      </c>
      <c r="B126" s="17">
        <v>5975</v>
      </c>
      <c r="C126" s="17" t="s">
        <v>299</v>
      </c>
      <c r="D126" s="20" t="s">
        <v>131</v>
      </c>
      <c r="E126" s="19" t="s">
        <v>300</v>
      </c>
      <c r="F126" s="55">
        <f>400.22+92.99+317.66</f>
        <v>810.87000000000012</v>
      </c>
      <c r="G126" s="15">
        <v>5.65</v>
      </c>
      <c r="H126" s="18">
        <f t="shared" si="6"/>
        <v>4581.415500000001</v>
      </c>
      <c r="J126" s="43"/>
    </row>
    <row r="127" spans="1:10" ht="25.5" outlineLevel="1">
      <c r="A127" s="17" t="s">
        <v>399</v>
      </c>
      <c r="B127" s="17" t="s">
        <v>400</v>
      </c>
      <c r="C127" s="17" t="s">
        <v>299</v>
      </c>
      <c r="D127" s="20" t="s">
        <v>401</v>
      </c>
      <c r="E127" s="19" t="s">
        <v>300</v>
      </c>
      <c r="F127" s="55">
        <f>F130+F131</f>
        <v>921.95500000000004</v>
      </c>
      <c r="G127" s="15">
        <v>17.78</v>
      </c>
      <c r="H127" s="18">
        <f t="shared" si="6"/>
        <v>16392.359900000003</v>
      </c>
      <c r="J127" s="43"/>
    </row>
    <row r="128" spans="1:10" ht="25.5" outlineLevel="1">
      <c r="A128" s="17" t="s">
        <v>402</v>
      </c>
      <c r="B128" s="17" t="s">
        <v>403</v>
      </c>
      <c r="C128" s="17" t="s">
        <v>299</v>
      </c>
      <c r="D128" s="20" t="s">
        <v>404</v>
      </c>
      <c r="E128" s="19" t="s">
        <v>300</v>
      </c>
      <c r="F128" s="55">
        <f>F125</f>
        <v>956.3950000000001</v>
      </c>
      <c r="G128" s="15">
        <v>15.47</v>
      </c>
      <c r="H128" s="18">
        <f t="shared" si="6"/>
        <v>14795.430650000002</v>
      </c>
      <c r="J128" s="43"/>
    </row>
    <row r="129" spans="1:10" outlineLevel="1">
      <c r="A129" s="17" t="s">
        <v>405</v>
      </c>
      <c r="B129" s="17" t="s">
        <v>400</v>
      </c>
      <c r="C129" s="17" t="s">
        <v>299</v>
      </c>
      <c r="D129" s="20" t="s">
        <v>132</v>
      </c>
      <c r="E129" s="19" t="s">
        <v>300</v>
      </c>
      <c r="F129" s="55">
        <f>F126</f>
        <v>810.87000000000012</v>
      </c>
      <c r="G129" s="15">
        <v>17.78</v>
      </c>
      <c r="H129" s="18">
        <f t="shared" si="6"/>
        <v>14417.268600000003</v>
      </c>
      <c r="J129" s="43"/>
    </row>
    <row r="130" spans="1:10" ht="25.5" outlineLevel="1">
      <c r="A130" s="17" t="s">
        <v>406</v>
      </c>
      <c r="B130" s="17" t="s">
        <v>407</v>
      </c>
      <c r="C130" s="17" t="s">
        <v>299</v>
      </c>
      <c r="D130" s="20" t="s">
        <v>408</v>
      </c>
      <c r="E130" s="19" t="s">
        <v>300</v>
      </c>
      <c r="F130" s="55">
        <f>196.74+277.56+227.65</f>
        <v>701.95</v>
      </c>
      <c r="G130" s="15">
        <v>18.829999999999998</v>
      </c>
      <c r="H130" s="18">
        <f t="shared" si="6"/>
        <v>13217.718499999999</v>
      </c>
      <c r="J130" s="43"/>
    </row>
    <row r="131" spans="1:10" ht="25.5" outlineLevel="1">
      <c r="A131" s="17" t="s">
        <v>409</v>
      </c>
      <c r="B131" s="17" t="s">
        <v>410</v>
      </c>
      <c r="C131" s="17" t="s">
        <v>299</v>
      </c>
      <c r="D131" s="20" t="s">
        <v>411</v>
      </c>
      <c r="E131" s="19" t="s">
        <v>300</v>
      </c>
      <c r="F131" s="55">
        <f>55.2+60.17*0.1+51.2*0.1+39.5+103.62+105.48*0.1</f>
        <v>220.005</v>
      </c>
      <c r="G131" s="15">
        <v>18.010000000000002</v>
      </c>
      <c r="H131" s="18">
        <f t="shared" si="6"/>
        <v>3962.2900500000001</v>
      </c>
      <c r="J131" s="43"/>
    </row>
    <row r="132" spans="1:10" ht="12.75" customHeight="1" outlineLevel="1">
      <c r="A132" s="22" t="s">
        <v>749</v>
      </c>
      <c r="B132" s="22"/>
      <c r="C132" s="22"/>
      <c r="D132" s="23"/>
      <c r="E132" s="23"/>
      <c r="F132" s="24"/>
      <c r="G132" s="24"/>
      <c r="H132" s="25">
        <f>SUM(H125:H131)</f>
        <v>70312.179799999998</v>
      </c>
      <c r="J132" s="43"/>
    </row>
    <row r="133" spans="1:10">
      <c r="A133" s="14"/>
      <c r="B133" s="14"/>
      <c r="C133" s="14"/>
      <c r="D133" s="21"/>
      <c r="E133" s="13"/>
      <c r="F133" s="54"/>
      <c r="G133" s="15"/>
      <c r="H133" s="12"/>
      <c r="J133" s="43"/>
    </row>
    <row r="134" spans="1:10">
      <c r="A134" s="29">
        <v>10</v>
      </c>
      <c r="B134" s="29"/>
      <c r="C134" s="29"/>
      <c r="D134" s="30" t="s">
        <v>412</v>
      </c>
      <c r="E134" s="30"/>
      <c r="F134" s="31"/>
      <c r="G134" s="31"/>
      <c r="H134" s="32">
        <f>H146</f>
        <v>58399.475300000006</v>
      </c>
      <c r="J134" s="137"/>
    </row>
    <row r="135" spans="1:10" outlineLevel="1">
      <c r="A135" s="17" t="s">
        <v>413</v>
      </c>
      <c r="B135" s="17" t="s">
        <v>694</v>
      </c>
      <c r="C135" s="17" t="s">
        <v>299</v>
      </c>
      <c r="D135" s="20" t="s">
        <v>826</v>
      </c>
      <c r="E135" s="19" t="s">
        <v>300</v>
      </c>
      <c r="F135" s="55">
        <f>F138+F140+F142+68.6</f>
        <v>410.18999999999994</v>
      </c>
      <c r="G135" s="15">
        <v>29.42</v>
      </c>
      <c r="H135" s="18">
        <f t="shared" ref="H135:H144" si="7">F135*G135</f>
        <v>12067.789799999999</v>
      </c>
      <c r="J135" s="43"/>
    </row>
    <row r="136" spans="1:10" outlineLevel="1">
      <c r="A136" s="17" t="s">
        <v>414</v>
      </c>
      <c r="B136" s="17" t="s">
        <v>415</v>
      </c>
      <c r="C136" s="17" t="s">
        <v>299</v>
      </c>
      <c r="D136" s="20" t="s">
        <v>133</v>
      </c>
      <c r="E136" s="19" t="s">
        <v>300</v>
      </c>
      <c r="F136" s="55">
        <f>F135</f>
        <v>410.18999999999994</v>
      </c>
      <c r="G136" s="15">
        <v>14.22</v>
      </c>
      <c r="H136" s="18">
        <f t="shared" si="7"/>
        <v>5832.9017999999996</v>
      </c>
      <c r="J136" s="43"/>
    </row>
    <row r="137" spans="1:10" outlineLevel="1">
      <c r="A137" s="17" t="s">
        <v>416</v>
      </c>
      <c r="B137" s="17">
        <v>72137</v>
      </c>
      <c r="C137" s="17" t="s">
        <v>299</v>
      </c>
      <c r="D137" s="20" t="s">
        <v>417</v>
      </c>
      <c r="E137" s="19" t="s">
        <v>300</v>
      </c>
      <c r="F137" s="55">
        <v>406.17</v>
      </c>
      <c r="G137" s="15">
        <v>57</v>
      </c>
      <c r="H137" s="18">
        <f t="shared" si="7"/>
        <v>23151.690000000002</v>
      </c>
      <c r="J137" s="43"/>
    </row>
    <row r="138" spans="1:10" ht="12.75" customHeight="1" outlineLevel="1">
      <c r="A138" s="17" t="s">
        <v>418</v>
      </c>
      <c r="B138" s="17" t="s">
        <v>407</v>
      </c>
      <c r="C138" s="17" t="s">
        <v>299</v>
      </c>
      <c r="D138" s="20" t="s">
        <v>419</v>
      </c>
      <c r="E138" s="19" t="s">
        <v>300</v>
      </c>
      <c r="F138" s="55">
        <v>148.88999999999999</v>
      </c>
      <c r="G138" s="15">
        <v>18.829999999999998</v>
      </c>
      <c r="H138" s="18">
        <f t="shared" si="7"/>
        <v>2803.5986999999996</v>
      </c>
      <c r="J138" s="43"/>
    </row>
    <row r="139" spans="1:10" outlineLevel="1">
      <c r="A139" s="17" t="s">
        <v>420</v>
      </c>
      <c r="B139" s="17">
        <v>73692</v>
      </c>
      <c r="C139" s="17" t="s">
        <v>299</v>
      </c>
      <c r="D139" s="20" t="s">
        <v>810</v>
      </c>
      <c r="E139" s="19" t="s">
        <v>297</v>
      </c>
      <c r="F139" s="55">
        <f>9.8*7*0.4</f>
        <v>27.440000000000005</v>
      </c>
      <c r="G139" s="15">
        <v>91.12</v>
      </c>
      <c r="H139" s="18">
        <f t="shared" si="7"/>
        <v>2500.3328000000006</v>
      </c>
      <c r="J139" s="43"/>
    </row>
    <row r="140" spans="1:10" outlineLevel="1">
      <c r="A140" s="17" t="s">
        <v>421</v>
      </c>
      <c r="B140" s="17">
        <v>73675</v>
      </c>
      <c r="C140" s="17" t="s">
        <v>299</v>
      </c>
      <c r="D140" s="20" t="s">
        <v>422</v>
      </c>
      <c r="E140" s="19" t="s">
        <v>300</v>
      </c>
      <c r="F140" s="55">
        <f>55.31+134.14</f>
        <v>189.45</v>
      </c>
      <c r="G140" s="15">
        <v>41.87</v>
      </c>
      <c r="H140" s="18">
        <f t="shared" si="7"/>
        <v>7932.2714999999989</v>
      </c>
      <c r="J140" s="43"/>
    </row>
    <row r="141" spans="1:10" s="69" customFormat="1" ht="26.25" customHeight="1" outlineLevel="1">
      <c r="A141" s="67" t="s">
        <v>423</v>
      </c>
      <c r="B141" s="67">
        <v>72186</v>
      </c>
      <c r="C141" s="17" t="s">
        <v>299</v>
      </c>
      <c r="D141" s="61" t="s">
        <v>808</v>
      </c>
      <c r="E141" s="70" t="s">
        <v>300</v>
      </c>
      <c r="F141" s="81">
        <f>14.31+8.37</f>
        <v>22.68</v>
      </c>
      <c r="G141" s="64">
        <v>80.69</v>
      </c>
      <c r="H141" s="65">
        <f t="shared" si="7"/>
        <v>1830.0491999999999</v>
      </c>
      <c r="J141" s="66"/>
    </row>
    <row r="142" spans="1:10" outlineLevel="1">
      <c r="A142" s="67" t="s">
        <v>570</v>
      </c>
      <c r="B142" s="67">
        <v>73629</v>
      </c>
      <c r="C142" s="17" t="s">
        <v>299</v>
      </c>
      <c r="D142" s="61" t="s">
        <v>809</v>
      </c>
      <c r="E142" s="70" t="s">
        <v>300</v>
      </c>
      <c r="F142" s="81">
        <v>3.25</v>
      </c>
      <c r="G142" s="64">
        <v>54.95</v>
      </c>
      <c r="H142" s="65">
        <f t="shared" si="7"/>
        <v>178.58750000000001</v>
      </c>
      <c r="J142" s="43"/>
    </row>
    <row r="143" spans="1:10" outlineLevel="1">
      <c r="A143" s="67" t="s">
        <v>571</v>
      </c>
      <c r="B143" s="67" t="s">
        <v>7</v>
      </c>
      <c r="C143" s="67" t="s">
        <v>8</v>
      </c>
      <c r="D143" s="61" t="s">
        <v>482</v>
      </c>
      <c r="E143" s="70" t="s">
        <v>326</v>
      </c>
      <c r="F143" s="81">
        <v>5.87</v>
      </c>
      <c r="G143" s="64">
        <v>194.6</v>
      </c>
      <c r="H143" s="65">
        <f t="shared" si="7"/>
        <v>1142.3019999999999</v>
      </c>
      <c r="J143" s="43"/>
    </row>
    <row r="144" spans="1:10" outlineLevel="1">
      <c r="A144" s="17" t="s">
        <v>0</v>
      </c>
      <c r="B144" s="17" t="s">
        <v>572</v>
      </c>
      <c r="C144" s="17" t="s">
        <v>299</v>
      </c>
      <c r="D144" s="61" t="s">
        <v>569</v>
      </c>
      <c r="E144" s="19" t="s">
        <v>326</v>
      </c>
      <c r="F144" s="55">
        <v>33.6</v>
      </c>
      <c r="G144" s="15">
        <v>28.57</v>
      </c>
      <c r="H144" s="18">
        <f t="shared" si="7"/>
        <v>959.952</v>
      </c>
      <c r="J144" s="43"/>
    </row>
    <row r="145" spans="1:10" outlineLevel="1">
      <c r="A145" s="17"/>
      <c r="B145" s="17"/>
      <c r="C145" s="17"/>
      <c r="D145" s="61"/>
      <c r="E145" s="19"/>
      <c r="F145" s="55"/>
      <c r="G145" s="15"/>
      <c r="H145" s="18"/>
      <c r="J145" s="43"/>
    </row>
    <row r="146" spans="1:10" ht="12.75" customHeight="1" outlineLevel="1">
      <c r="A146" s="22" t="s">
        <v>749</v>
      </c>
      <c r="B146" s="22"/>
      <c r="C146" s="22"/>
      <c r="D146" s="23"/>
      <c r="E146" s="23"/>
      <c r="F146" s="24"/>
      <c r="G146" s="24"/>
      <c r="H146" s="25">
        <f>SUM(H135:H145)</f>
        <v>58399.475300000006</v>
      </c>
      <c r="J146" s="43"/>
    </row>
    <row r="147" spans="1:10">
      <c r="A147" s="14"/>
      <c r="B147" s="14"/>
      <c r="C147" s="14"/>
      <c r="D147" s="21"/>
      <c r="E147" s="13"/>
      <c r="F147" s="54"/>
      <c r="G147" s="15"/>
      <c r="H147" s="12"/>
      <c r="J147" s="43"/>
    </row>
    <row r="148" spans="1:10">
      <c r="A148" s="29">
        <v>11</v>
      </c>
      <c r="B148" s="29"/>
      <c r="C148" s="29"/>
      <c r="D148" s="30" t="s">
        <v>1</v>
      </c>
      <c r="E148" s="30"/>
      <c r="F148" s="31"/>
      <c r="G148" s="31"/>
      <c r="H148" s="32">
        <f>H155</f>
        <v>10234.897000000001</v>
      </c>
      <c r="J148" s="137"/>
    </row>
    <row r="149" spans="1:10" outlineLevel="1">
      <c r="A149" s="17" t="s">
        <v>2</v>
      </c>
      <c r="B149" s="17" t="s">
        <v>3</v>
      </c>
      <c r="C149" s="17" t="s">
        <v>299</v>
      </c>
      <c r="D149" s="20" t="s">
        <v>4</v>
      </c>
      <c r="E149" s="19" t="s">
        <v>326</v>
      </c>
      <c r="F149" s="55">
        <v>19.2</v>
      </c>
      <c r="G149" s="15">
        <v>43.3</v>
      </c>
      <c r="H149" s="18">
        <f t="shared" ref="H149:H154" si="8">F149*G149</f>
        <v>831.3599999999999</v>
      </c>
      <c r="J149" s="43"/>
    </row>
    <row r="150" spans="1:10" outlineLevel="1">
      <c r="A150" s="17" t="s">
        <v>5</v>
      </c>
      <c r="B150" s="17" t="s">
        <v>3</v>
      </c>
      <c r="C150" s="17" t="s">
        <v>299</v>
      </c>
      <c r="D150" s="20" t="s">
        <v>452</v>
      </c>
      <c r="E150" s="19" t="s">
        <v>326</v>
      </c>
      <c r="F150" s="55">
        <v>4.07</v>
      </c>
      <c r="G150" s="15">
        <v>43.3</v>
      </c>
      <c r="H150" s="18">
        <f t="shared" si="8"/>
        <v>176.23099999999999</v>
      </c>
      <c r="J150" s="43"/>
    </row>
    <row r="151" spans="1:10" outlineLevel="1">
      <c r="A151" s="17" t="s">
        <v>135</v>
      </c>
      <c r="B151" s="17" t="s">
        <v>3</v>
      </c>
      <c r="C151" s="17" t="s">
        <v>299</v>
      </c>
      <c r="D151" s="20" t="s">
        <v>134</v>
      </c>
      <c r="E151" s="19" t="s">
        <v>326</v>
      </c>
      <c r="F151" s="55">
        <v>61.2</v>
      </c>
      <c r="G151" s="15">
        <v>43.3</v>
      </c>
      <c r="H151" s="18">
        <f t="shared" si="8"/>
        <v>2649.96</v>
      </c>
      <c r="J151" s="43"/>
    </row>
    <row r="152" spans="1:10" ht="31.5" customHeight="1" outlineLevel="1">
      <c r="A152" s="67" t="s">
        <v>6</v>
      </c>
      <c r="B152" s="67" t="s">
        <v>807</v>
      </c>
      <c r="C152" s="67" t="s">
        <v>299</v>
      </c>
      <c r="D152" s="61" t="s">
        <v>575</v>
      </c>
      <c r="E152" s="70" t="s">
        <v>326</v>
      </c>
      <c r="F152" s="81">
        <v>167.6</v>
      </c>
      <c r="G152" s="64">
        <v>22.23</v>
      </c>
      <c r="H152" s="65">
        <f t="shared" si="8"/>
        <v>3725.748</v>
      </c>
      <c r="J152" s="43"/>
    </row>
    <row r="153" spans="1:10" ht="25.5" outlineLevel="1">
      <c r="A153" s="67" t="s">
        <v>573</v>
      </c>
      <c r="B153" s="67" t="s">
        <v>807</v>
      </c>
      <c r="C153" s="67" t="s">
        <v>299</v>
      </c>
      <c r="D153" s="61" t="s">
        <v>576</v>
      </c>
      <c r="E153" s="70" t="s">
        <v>326</v>
      </c>
      <c r="F153" s="81">
        <v>14.6</v>
      </c>
      <c r="G153" s="64">
        <v>22.23</v>
      </c>
      <c r="H153" s="65">
        <f t="shared" si="8"/>
        <v>324.55799999999999</v>
      </c>
      <c r="J153" s="43"/>
    </row>
    <row r="154" spans="1:10" outlineLevel="1">
      <c r="A154" s="67" t="s">
        <v>574</v>
      </c>
      <c r="B154" s="67">
        <v>220802</v>
      </c>
      <c r="C154" s="67" t="s">
        <v>690</v>
      </c>
      <c r="D154" s="61" t="s">
        <v>9</v>
      </c>
      <c r="E154" s="70" t="s">
        <v>326</v>
      </c>
      <c r="F154" s="81">
        <v>169.6</v>
      </c>
      <c r="G154" s="64">
        <v>14.9</v>
      </c>
      <c r="H154" s="65">
        <f t="shared" si="8"/>
        <v>2527.04</v>
      </c>
      <c r="J154" s="43"/>
    </row>
    <row r="155" spans="1:10" ht="12.75" customHeight="1" outlineLevel="1">
      <c r="A155" s="22" t="s">
        <v>749</v>
      </c>
      <c r="B155" s="22"/>
      <c r="C155" s="22"/>
      <c r="D155" s="23"/>
      <c r="E155" s="23"/>
      <c r="F155" s="24"/>
      <c r="G155" s="24"/>
      <c r="H155" s="25">
        <f>SUM(H149:H154)</f>
        <v>10234.897000000001</v>
      </c>
      <c r="J155" s="43"/>
    </row>
    <row r="156" spans="1:10">
      <c r="A156" s="14"/>
      <c r="B156" s="14"/>
      <c r="C156" s="14"/>
      <c r="D156" s="21"/>
      <c r="E156" s="13"/>
      <c r="F156" s="54"/>
      <c r="G156" s="15"/>
      <c r="H156" s="12"/>
      <c r="J156" s="43"/>
    </row>
    <row r="157" spans="1:10">
      <c r="A157" s="29">
        <v>12</v>
      </c>
      <c r="B157" s="29"/>
      <c r="C157" s="29"/>
      <c r="D157" s="30" t="s">
        <v>10</v>
      </c>
      <c r="E157" s="30"/>
      <c r="F157" s="31"/>
      <c r="G157" s="31"/>
      <c r="H157" s="32">
        <f>H163</f>
        <v>23368.701400000002</v>
      </c>
      <c r="J157" s="137"/>
    </row>
    <row r="158" spans="1:10" outlineLevel="1">
      <c r="A158" s="17" t="s">
        <v>11</v>
      </c>
      <c r="B158" s="17" t="s">
        <v>577</v>
      </c>
      <c r="C158" s="17" t="s">
        <v>299</v>
      </c>
      <c r="D158" s="20" t="s">
        <v>12</v>
      </c>
      <c r="E158" s="19" t="s">
        <v>300</v>
      </c>
      <c r="F158" s="55">
        <f>568.56+246.45</f>
        <v>815.01</v>
      </c>
      <c r="G158" s="15">
        <v>9.6</v>
      </c>
      <c r="H158" s="18">
        <f t="shared" ref="H158:H162" si="9">F158*G158</f>
        <v>7824.0959999999995</v>
      </c>
      <c r="J158" s="43"/>
    </row>
    <row r="159" spans="1:10" outlineLevel="1">
      <c r="A159" s="17" t="s">
        <v>13</v>
      </c>
      <c r="B159" s="17" t="s">
        <v>578</v>
      </c>
      <c r="C159" s="17" t="s">
        <v>299</v>
      </c>
      <c r="D159" s="20" t="s">
        <v>453</v>
      </c>
      <c r="E159" s="19" t="s">
        <v>300</v>
      </c>
      <c r="F159" s="55">
        <v>422.22</v>
      </c>
      <c r="G159" s="15">
        <v>7.42</v>
      </c>
      <c r="H159" s="18">
        <f t="shared" si="9"/>
        <v>3132.8724000000002</v>
      </c>
      <c r="J159" s="43"/>
    </row>
    <row r="160" spans="1:10" outlineLevel="1">
      <c r="A160" s="17" t="s">
        <v>14</v>
      </c>
      <c r="B160" s="17" t="s">
        <v>15</v>
      </c>
      <c r="C160" s="17" t="s">
        <v>299</v>
      </c>
      <c r="D160" s="20" t="s">
        <v>455</v>
      </c>
      <c r="E160" s="19" t="s">
        <v>300</v>
      </c>
      <c r="F160" s="55">
        <f>F158</f>
        <v>815.01</v>
      </c>
      <c r="G160" s="15">
        <v>10.210000000000001</v>
      </c>
      <c r="H160" s="18">
        <f t="shared" si="9"/>
        <v>8321.2520999999997</v>
      </c>
      <c r="J160" s="43"/>
    </row>
    <row r="161" spans="1:10" outlineLevel="1">
      <c r="A161" s="17" t="s">
        <v>16</v>
      </c>
      <c r="B161" s="17" t="s">
        <v>579</v>
      </c>
      <c r="C161" s="17" t="s">
        <v>299</v>
      </c>
      <c r="D161" s="20" t="s">
        <v>454</v>
      </c>
      <c r="E161" s="19" t="s">
        <v>300</v>
      </c>
      <c r="F161" s="55">
        <f>F159</f>
        <v>422.22</v>
      </c>
      <c r="G161" s="15">
        <v>6.54</v>
      </c>
      <c r="H161" s="18">
        <f t="shared" si="9"/>
        <v>2761.3188</v>
      </c>
      <c r="J161" s="43"/>
    </row>
    <row r="162" spans="1:10" outlineLevel="1">
      <c r="A162" s="17" t="s">
        <v>17</v>
      </c>
      <c r="B162" s="17" t="s">
        <v>18</v>
      </c>
      <c r="C162" s="17" t="s">
        <v>299</v>
      </c>
      <c r="D162" s="20" t="s">
        <v>19</v>
      </c>
      <c r="E162" s="19" t="s">
        <v>300</v>
      </c>
      <c r="F162" s="55">
        <v>97.09</v>
      </c>
      <c r="G162" s="15">
        <v>13.69</v>
      </c>
      <c r="H162" s="18">
        <f t="shared" si="9"/>
        <v>1329.1621</v>
      </c>
      <c r="J162" s="43"/>
    </row>
    <row r="163" spans="1:10" ht="12.75" customHeight="1" outlineLevel="1">
      <c r="A163" s="22" t="s">
        <v>749</v>
      </c>
      <c r="B163" s="22"/>
      <c r="C163" s="22"/>
      <c r="D163" s="23"/>
      <c r="E163" s="23"/>
      <c r="F163" s="24"/>
      <c r="G163" s="24"/>
      <c r="H163" s="25">
        <f>SUM(H158:H162)</f>
        <v>23368.701400000002</v>
      </c>
      <c r="J163" s="43"/>
    </row>
    <row r="164" spans="1:10">
      <c r="A164" s="14"/>
      <c r="B164" s="14"/>
      <c r="C164" s="14"/>
      <c r="D164" s="21"/>
      <c r="E164" s="13"/>
      <c r="F164" s="54"/>
      <c r="G164" s="15"/>
      <c r="H164" s="12"/>
      <c r="J164" s="43"/>
    </row>
    <row r="165" spans="1:10">
      <c r="A165" s="29">
        <v>13</v>
      </c>
      <c r="B165" s="29"/>
      <c r="C165" s="29"/>
      <c r="D165" s="30" t="s">
        <v>22</v>
      </c>
      <c r="E165" s="30"/>
      <c r="F165" s="31"/>
      <c r="G165" s="31"/>
      <c r="H165" s="32">
        <f>H264</f>
        <v>67296.728000000003</v>
      </c>
      <c r="J165" s="137"/>
    </row>
    <row r="166" spans="1:10" outlineLevel="1">
      <c r="A166" s="22" t="s">
        <v>136</v>
      </c>
      <c r="B166" s="22"/>
      <c r="C166" s="22"/>
      <c r="D166" s="23" t="s">
        <v>137</v>
      </c>
      <c r="E166" s="12"/>
      <c r="F166" s="15"/>
      <c r="G166" s="15"/>
      <c r="H166" s="12"/>
      <c r="J166" s="43"/>
    </row>
    <row r="167" spans="1:10" s="69" customFormat="1" ht="38.25" outlineLevel="1">
      <c r="A167" s="67" t="s">
        <v>23</v>
      </c>
      <c r="B167" s="70" t="s">
        <v>617</v>
      </c>
      <c r="C167" s="70" t="s">
        <v>299</v>
      </c>
      <c r="D167" s="61" t="s">
        <v>618</v>
      </c>
      <c r="E167" s="63" t="s">
        <v>294</v>
      </c>
      <c r="F167" s="71">
        <v>2</v>
      </c>
      <c r="G167" s="64">
        <v>409.1</v>
      </c>
      <c r="H167" s="18">
        <f t="shared" ref="H167:H181" si="10">F167*G167</f>
        <v>818.2</v>
      </c>
      <c r="J167" s="66"/>
    </row>
    <row r="168" spans="1:10" s="69" customFormat="1" ht="38.25" outlineLevel="1">
      <c r="A168" s="67" t="s">
        <v>24</v>
      </c>
      <c r="B168" s="67" t="s">
        <v>633</v>
      </c>
      <c r="C168" s="70" t="s">
        <v>299</v>
      </c>
      <c r="D168" s="61" t="s">
        <v>619</v>
      </c>
      <c r="E168" s="63" t="s">
        <v>294</v>
      </c>
      <c r="F168" s="71">
        <v>4</v>
      </c>
      <c r="G168" s="64">
        <v>249.12</v>
      </c>
      <c r="H168" s="18">
        <f t="shared" si="10"/>
        <v>996.48</v>
      </c>
      <c r="J168" s="66"/>
    </row>
    <row r="169" spans="1:10" s="69" customFormat="1" outlineLevel="1">
      <c r="A169" s="67" t="s">
        <v>25</v>
      </c>
      <c r="B169" s="67" t="s">
        <v>7</v>
      </c>
      <c r="C169" s="67"/>
      <c r="D169" s="61" t="s">
        <v>620</v>
      </c>
      <c r="E169" s="63" t="s">
        <v>294</v>
      </c>
      <c r="F169" s="56">
        <v>3</v>
      </c>
      <c r="G169" s="15">
        <v>52.63</v>
      </c>
      <c r="H169" s="18">
        <f t="shared" si="10"/>
        <v>157.89000000000001</v>
      </c>
      <c r="J169" s="66"/>
    </row>
    <row r="170" spans="1:10" s="69" customFormat="1" outlineLevel="1">
      <c r="A170" s="67" t="s">
        <v>26</v>
      </c>
      <c r="B170" s="67" t="s">
        <v>634</v>
      </c>
      <c r="C170" s="70" t="s">
        <v>299</v>
      </c>
      <c r="D170" s="61" t="s">
        <v>621</v>
      </c>
      <c r="E170" s="63" t="s">
        <v>294</v>
      </c>
      <c r="F170" s="56">
        <v>10</v>
      </c>
      <c r="G170" s="15">
        <v>8.66</v>
      </c>
      <c r="H170" s="18">
        <f t="shared" si="10"/>
        <v>86.6</v>
      </c>
      <c r="J170" s="66"/>
    </row>
    <row r="171" spans="1:10" s="69" customFormat="1" outlineLevel="1">
      <c r="A171" s="67" t="s">
        <v>27</v>
      </c>
      <c r="B171" s="67" t="s">
        <v>634</v>
      </c>
      <c r="C171" s="70" t="s">
        <v>299</v>
      </c>
      <c r="D171" s="61" t="s">
        <v>622</v>
      </c>
      <c r="E171" s="63" t="s">
        <v>294</v>
      </c>
      <c r="F171" s="56">
        <v>23</v>
      </c>
      <c r="G171" s="15">
        <v>8.66</v>
      </c>
      <c r="H171" s="18">
        <f t="shared" si="10"/>
        <v>199.18</v>
      </c>
      <c r="J171" s="66"/>
    </row>
    <row r="172" spans="1:10" s="69" customFormat="1" outlineLevel="1">
      <c r="A172" s="67" t="s">
        <v>28</v>
      </c>
      <c r="B172" s="67" t="s">
        <v>635</v>
      </c>
      <c r="C172" s="70" t="s">
        <v>299</v>
      </c>
      <c r="D172" s="61" t="s">
        <v>624</v>
      </c>
      <c r="E172" s="63" t="s">
        <v>294</v>
      </c>
      <c r="F172" s="71">
        <v>4</v>
      </c>
      <c r="G172" s="64">
        <v>55.26</v>
      </c>
      <c r="H172" s="18">
        <f t="shared" si="10"/>
        <v>221.04</v>
      </c>
      <c r="J172" s="66"/>
    </row>
    <row r="173" spans="1:10" s="69" customFormat="1" outlineLevel="1">
      <c r="A173" s="67" t="s">
        <v>637</v>
      </c>
      <c r="B173" s="67" t="s">
        <v>635</v>
      </c>
      <c r="C173" s="70" t="s">
        <v>299</v>
      </c>
      <c r="D173" s="61" t="s">
        <v>625</v>
      </c>
      <c r="E173" s="63" t="s">
        <v>294</v>
      </c>
      <c r="F173" s="71">
        <v>2</v>
      </c>
      <c r="G173" s="64">
        <v>55.26</v>
      </c>
      <c r="H173" s="18">
        <f t="shared" si="10"/>
        <v>110.52</v>
      </c>
      <c r="J173" s="66"/>
    </row>
    <row r="174" spans="1:10" s="69" customFormat="1" outlineLevel="1">
      <c r="A174" s="67" t="s">
        <v>638</v>
      </c>
      <c r="B174" s="67" t="s">
        <v>636</v>
      </c>
      <c r="C174" s="70" t="s">
        <v>299</v>
      </c>
      <c r="D174" s="61" t="s">
        <v>626</v>
      </c>
      <c r="E174" s="63" t="s">
        <v>294</v>
      </c>
      <c r="F174" s="71">
        <v>1</v>
      </c>
      <c r="G174" s="64">
        <v>79.430000000000007</v>
      </c>
      <c r="H174" s="18">
        <f t="shared" si="10"/>
        <v>79.430000000000007</v>
      </c>
      <c r="J174" s="66"/>
    </row>
    <row r="175" spans="1:10" s="69" customFormat="1" outlineLevel="1">
      <c r="A175" s="67" t="s">
        <v>639</v>
      </c>
      <c r="B175" s="67" t="s">
        <v>634</v>
      </c>
      <c r="C175" s="70" t="s">
        <v>299</v>
      </c>
      <c r="D175" s="61" t="s">
        <v>627</v>
      </c>
      <c r="E175" s="63" t="s">
        <v>294</v>
      </c>
      <c r="F175" s="71">
        <v>15</v>
      </c>
      <c r="G175" s="64">
        <v>8.66</v>
      </c>
      <c r="H175" s="18">
        <f t="shared" si="10"/>
        <v>129.9</v>
      </c>
      <c r="J175" s="66"/>
    </row>
    <row r="176" spans="1:10" s="69" customFormat="1" outlineLevel="1">
      <c r="A176" s="67" t="s">
        <v>640</v>
      </c>
      <c r="B176" s="67" t="s">
        <v>635</v>
      </c>
      <c r="C176" s="70" t="s">
        <v>299</v>
      </c>
      <c r="D176" s="61" t="s">
        <v>628</v>
      </c>
      <c r="E176" s="63" t="s">
        <v>294</v>
      </c>
      <c r="F176" s="71">
        <v>4</v>
      </c>
      <c r="G176" s="64">
        <v>56.44</v>
      </c>
      <c r="H176" s="18">
        <f t="shared" si="10"/>
        <v>225.76</v>
      </c>
      <c r="J176" s="66"/>
    </row>
    <row r="177" spans="1:10" s="69" customFormat="1" outlineLevel="1">
      <c r="A177" s="67" t="s">
        <v>641</v>
      </c>
      <c r="B177" s="67" t="s">
        <v>634</v>
      </c>
      <c r="C177" s="70" t="s">
        <v>299</v>
      </c>
      <c r="D177" s="61" t="s">
        <v>623</v>
      </c>
      <c r="E177" s="63" t="s">
        <v>294</v>
      </c>
      <c r="F177" s="71">
        <v>1</v>
      </c>
      <c r="G177" s="64">
        <v>8.66</v>
      </c>
      <c r="H177" s="18">
        <f t="shared" si="10"/>
        <v>8.66</v>
      </c>
      <c r="J177" s="66"/>
    </row>
    <row r="178" spans="1:10" s="69" customFormat="1" outlineLevel="1">
      <c r="A178" s="67" t="s">
        <v>642</v>
      </c>
      <c r="B178" s="67" t="s">
        <v>7</v>
      </c>
      <c r="C178" s="67"/>
      <c r="D178" s="61" t="s">
        <v>629</v>
      </c>
      <c r="E178" s="63" t="s">
        <v>294</v>
      </c>
      <c r="F178" s="71">
        <v>4</v>
      </c>
      <c r="G178" s="64">
        <v>96.79</v>
      </c>
      <c r="H178" s="18">
        <f t="shared" si="10"/>
        <v>387.16</v>
      </c>
      <c r="J178" s="66"/>
    </row>
    <row r="179" spans="1:10" s="69" customFormat="1" outlineLevel="1">
      <c r="A179" s="67" t="s">
        <v>643</v>
      </c>
      <c r="B179" s="67" t="s">
        <v>7</v>
      </c>
      <c r="C179" s="67"/>
      <c r="D179" s="61" t="s">
        <v>630</v>
      </c>
      <c r="E179" s="63" t="s">
        <v>294</v>
      </c>
      <c r="F179" s="71">
        <v>1</v>
      </c>
      <c r="G179" s="64">
        <v>1005.24</v>
      </c>
      <c r="H179" s="18">
        <f t="shared" si="10"/>
        <v>1005.24</v>
      </c>
      <c r="J179" s="66"/>
    </row>
    <row r="180" spans="1:10" s="69" customFormat="1" outlineLevel="1">
      <c r="A180" s="67" t="s">
        <v>644</v>
      </c>
      <c r="B180" s="67">
        <v>68069</v>
      </c>
      <c r="C180" s="70" t="s">
        <v>299</v>
      </c>
      <c r="D180" s="61" t="s">
        <v>631</v>
      </c>
      <c r="E180" s="63" t="s">
        <v>294</v>
      </c>
      <c r="F180" s="71">
        <v>12</v>
      </c>
      <c r="G180" s="64">
        <v>32.020000000000003</v>
      </c>
      <c r="H180" s="18">
        <f t="shared" si="10"/>
        <v>384.24</v>
      </c>
      <c r="J180" s="66"/>
    </row>
    <row r="181" spans="1:10" s="69" customFormat="1" outlineLevel="1">
      <c r="A181" s="67" t="s">
        <v>645</v>
      </c>
      <c r="B181" s="67">
        <v>73328</v>
      </c>
      <c r="C181" s="70" t="s">
        <v>299</v>
      </c>
      <c r="D181" s="61" t="s">
        <v>632</v>
      </c>
      <c r="E181" s="63" t="s">
        <v>646</v>
      </c>
      <c r="F181" s="71">
        <v>34</v>
      </c>
      <c r="G181" s="64">
        <v>3.89</v>
      </c>
      <c r="H181" s="18">
        <f t="shared" si="10"/>
        <v>132.26</v>
      </c>
      <c r="J181" s="66"/>
    </row>
    <row r="182" spans="1:10" s="69" customFormat="1" outlineLevel="1">
      <c r="A182" s="67"/>
      <c r="B182" s="67"/>
      <c r="C182" s="67"/>
      <c r="D182" s="61"/>
      <c r="E182" s="63"/>
      <c r="F182" s="71"/>
      <c r="G182" s="64"/>
      <c r="H182" s="18"/>
      <c r="J182" s="66"/>
    </row>
    <row r="183" spans="1:10" outlineLevel="1">
      <c r="A183" s="22" t="s">
        <v>33</v>
      </c>
      <c r="B183" s="77"/>
      <c r="C183" s="77"/>
      <c r="D183" s="23" t="s">
        <v>138</v>
      </c>
      <c r="E183" s="12"/>
      <c r="F183" s="15"/>
      <c r="G183" s="15"/>
      <c r="H183" s="18"/>
      <c r="J183" s="43"/>
    </row>
    <row r="184" spans="1:10" s="69" customFormat="1" outlineLevel="1">
      <c r="A184" s="67" t="s">
        <v>35</v>
      </c>
      <c r="B184" s="67">
        <v>72935</v>
      </c>
      <c r="C184" s="67" t="s">
        <v>299</v>
      </c>
      <c r="D184" s="61" t="s">
        <v>139</v>
      </c>
      <c r="E184" s="70" t="s">
        <v>326</v>
      </c>
      <c r="F184" s="71">
        <v>470.6</v>
      </c>
      <c r="G184" s="64">
        <v>4.03</v>
      </c>
      <c r="H184" s="18">
        <f t="shared" ref="H184:H188" si="11">F184*G184</f>
        <v>1896.5180000000003</v>
      </c>
      <c r="J184" s="66"/>
    </row>
    <row r="185" spans="1:10" s="69" customFormat="1" outlineLevel="1">
      <c r="A185" s="67" t="s">
        <v>41</v>
      </c>
      <c r="B185" s="67">
        <v>72936</v>
      </c>
      <c r="C185" s="67" t="s">
        <v>299</v>
      </c>
      <c r="D185" s="61" t="s">
        <v>483</v>
      </c>
      <c r="E185" s="70" t="s">
        <v>326</v>
      </c>
      <c r="F185" s="71">
        <v>336</v>
      </c>
      <c r="G185" s="64">
        <v>5.59</v>
      </c>
      <c r="H185" s="18">
        <f t="shared" si="11"/>
        <v>1878.24</v>
      </c>
      <c r="J185" s="66"/>
    </row>
    <row r="186" spans="1:10" s="69" customFormat="1" outlineLevel="1">
      <c r="A186" s="67" t="s">
        <v>42</v>
      </c>
      <c r="B186" s="67" t="s">
        <v>7</v>
      </c>
      <c r="C186" s="67" t="s">
        <v>8</v>
      </c>
      <c r="D186" s="61" t="s">
        <v>484</v>
      </c>
      <c r="E186" s="70" t="s">
        <v>326</v>
      </c>
      <c r="F186" s="71">
        <v>9</v>
      </c>
      <c r="G186" s="64">
        <v>9.31</v>
      </c>
      <c r="H186" s="18">
        <f t="shared" si="11"/>
        <v>83.79</v>
      </c>
      <c r="J186" s="66"/>
    </row>
    <row r="187" spans="1:10" s="69" customFormat="1" outlineLevel="1">
      <c r="A187" s="67" t="s">
        <v>43</v>
      </c>
      <c r="B187" s="67" t="s">
        <v>7</v>
      </c>
      <c r="C187" s="67" t="s">
        <v>8</v>
      </c>
      <c r="D187" s="61" t="s">
        <v>485</v>
      </c>
      <c r="E187" s="70" t="s">
        <v>326</v>
      </c>
      <c r="F187" s="71">
        <v>54</v>
      </c>
      <c r="G187" s="64">
        <v>12.32</v>
      </c>
      <c r="H187" s="18">
        <f t="shared" si="11"/>
        <v>665.28</v>
      </c>
      <c r="J187" s="66"/>
    </row>
    <row r="188" spans="1:10" s="69" customFormat="1" outlineLevel="1">
      <c r="A188" s="67" t="s">
        <v>46</v>
      </c>
      <c r="B188" s="67" t="s">
        <v>7</v>
      </c>
      <c r="C188" s="67" t="s">
        <v>8</v>
      </c>
      <c r="D188" s="61" t="s">
        <v>486</v>
      </c>
      <c r="E188" s="70" t="s">
        <v>326</v>
      </c>
      <c r="F188" s="71">
        <v>6</v>
      </c>
      <c r="G188" s="64">
        <v>34.94</v>
      </c>
      <c r="H188" s="18">
        <f t="shared" si="11"/>
        <v>209.64</v>
      </c>
      <c r="J188" s="66"/>
    </row>
    <row r="189" spans="1:10" s="69" customFormat="1" outlineLevel="1">
      <c r="A189" s="67"/>
      <c r="B189" s="67"/>
      <c r="C189" s="67"/>
      <c r="D189" s="61"/>
      <c r="E189" s="70"/>
      <c r="F189" s="71"/>
      <c r="G189" s="64"/>
      <c r="H189" s="18"/>
      <c r="J189" s="66"/>
    </row>
    <row r="190" spans="1:10" outlineLevel="1">
      <c r="A190" s="22" t="s">
        <v>140</v>
      </c>
      <c r="B190" s="22"/>
      <c r="C190" s="22"/>
      <c r="D190" s="23" t="s">
        <v>141</v>
      </c>
      <c r="E190" s="36"/>
      <c r="F190" s="37"/>
      <c r="G190" s="37"/>
      <c r="H190" s="18"/>
      <c r="J190" s="43"/>
    </row>
    <row r="191" spans="1:10" ht="38.25" outlineLevel="1">
      <c r="A191" s="22"/>
      <c r="B191" s="22"/>
      <c r="C191" s="22"/>
      <c r="D191" s="20" t="s">
        <v>29</v>
      </c>
      <c r="E191" s="13"/>
      <c r="F191" s="56"/>
      <c r="G191" s="15"/>
      <c r="H191" s="18"/>
      <c r="J191" s="43"/>
    </row>
    <row r="192" spans="1:10" s="69" customFormat="1" outlineLevel="1">
      <c r="A192" s="17" t="s">
        <v>142</v>
      </c>
      <c r="B192" s="67" t="s">
        <v>30</v>
      </c>
      <c r="C192" s="67" t="s">
        <v>299</v>
      </c>
      <c r="D192" s="61" t="s">
        <v>144</v>
      </c>
      <c r="E192" s="70" t="s">
        <v>326</v>
      </c>
      <c r="F192" s="71">
        <f>2650+170</f>
        <v>2820</v>
      </c>
      <c r="G192" s="64">
        <v>2.14</v>
      </c>
      <c r="H192" s="18">
        <f t="shared" ref="H192:H216" si="12">F192*G192</f>
        <v>6034.8</v>
      </c>
      <c r="I192" s="82"/>
      <c r="J192" s="66"/>
    </row>
    <row r="193" spans="1:10" s="69" customFormat="1" outlineLevel="1">
      <c r="A193" s="17" t="s">
        <v>143</v>
      </c>
      <c r="B193" s="67" t="s">
        <v>31</v>
      </c>
      <c r="C193" s="67" t="s">
        <v>299</v>
      </c>
      <c r="D193" s="61" t="s">
        <v>146</v>
      </c>
      <c r="E193" s="70" t="s">
        <v>326</v>
      </c>
      <c r="F193" s="71">
        <v>400</v>
      </c>
      <c r="G193" s="64">
        <v>3.26</v>
      </c>
      <c r="H193" s="18">
        <f t="shared" si="12"/>
        <v>1304</v>
      </c>
      <c r="I193" s="82"/>
      <c r="J193" s="66"/>
    </row>
    <row r="194" spans="1:10" s="69" customFormat="1" outlineLevel="1">
      <c r="A194" s="17" t="s">
        <v>145</v>
      </c>
      <c r="B194" s="67" t="s">
        <v>32</v>
      </c>
      <c r="C194" s="67" t="s">
        <v>299</v>
      </c>
      <c r="D194" s="61" t="s">
        <v>148</v>
      </c>
      <c r="E194" s="70" t="s">
        <v>326</v>
      </c>
      <c r="F194" s="71">
        <f>170+220</f>
        <v>390</v>
      </c>
      <c r="G194" s="64">
        <v>4.53</v>
      </c>
      <c r="H194" s="18">
        <f t="shared" si="12"/>
        <v>1766.7</v>
      </c>
      <c r="I194" s="82"/>
      <c r="J194" s="66"/>
    </row>
    <row r="195" spans="1:10" s="69" customFormat="1" outlineLevel="1">
      <c r="A195" s="17" t="s">
        <v>147</v>
      </c>
      <c r="B195" s="67" t="s">
        <v>150</v>
      </c>
      <c r="C195" s="67" t="s">
        <v>299</v>
      </c>
      <c r="D195" s="61" t="s">
        <v>151</v>
      </c>
      <c r="E195" s="70" t="s">
        <v>326</v>
      </c>
      <c r="F195" s="71">
        <v>170</v>
      </c>
      <c r="G195" s="64">
        <v>7.24</v>
      </c>
      <c r="H195" s="18">
        <f t="shared" si="12"/>
        <v>1230.8</v>
      </c>
      <c r="I195" s="72"/>
      <c r="J195" s="66"/>
    </row>
    <row r="196" spans="1:10" s="69" customFormat="1" outlineLevel="1">
      <c r="A196" s="17" t="s">
        <v>149</v>
      </c>
      <c r="B196" s="17" t="s">
        <v>152</v>
      </c>
      <c r="C196" s="17" t="s">
        <v>299</v>
      </c>
      <c r="D196" s="20" t="s">
        <v>153</v>
      </c>
      <c r="E196" s="19" t="s">
        <v>326</v>
      </c>
      <c r="F196" s="71">
        <v>200</v>
      </c>
      <c r="G196" s="64">
        <v>16.690000000000001</v>
      </c>
      <c r="H196" s="18">
        <f t="shared" si="12"/>
        <v>3338.0000000000005</v>
      </c>
      <c r="I196" s="72"/>
      <c r="J196" s="66"/>
    </row>
    <row r="197" spans="1:10" outlineLevel="1">
      <c r="A197" s="17" t="s">
        <v>647</v>
      </c>
      <c r="B197" s="17">
        <v>72927</v>
      </c>
      <c r="C197" s="17" t="s">
        <v>299</v>
      </c>
      <c r="D197" s="20" t="s">
        <v>648</v>
      </c>
      <c r="E197" s="19" t="s">
        <v>326</v>
      </c>
      <c r="F197" s="71">
        <v>20</v>
      </c>
      <c r="G197" s="64">
        <v>18.3</v>
      </c>
      <c r="H197" s="18">
        <f t="shared" si="12"/>
        <v>366</v>
      </c>
      <c r="J197" s="43"/>
    </row>
    <row r="198" spans="1:10" outlineLevel="1">
      <c r="A198" s="22" t="s">
        <v>154</v>
      </c>
      <c r="B198" s="22"/>
      <c r="C198" s="22"/>
      <c r="D198" s="23" t="s">
        <v>155</v>
      </c>
      <c r="E198" s="36"/>
      <c r="F198" s="37"/>
      <c r="G198" s="37"/>
      <c r="H198" s="18"/>
      <c r="J198" s="43"/>
    </row>
    <row r="199" spans="1:10" s="69" customFormat="1" outlineLevel="1">
      <c r="A199" s="17" t="s">
        <v>156</v>
      </c>
      <c r="B199" s="17">
        <v>83540</v>
      </c>
      <c r="C199" s="17" t="s">
        <v>299</v>
      </c>
      <c r="D199" s="20" t="s">
        <v>649</v>
      </c>
      <c r="E199" s="19" t="s">
        <v>294</v>
      </c>
      <c r="F199" s="56">
        <v>83</v>
      </c>
      <c r="G199" s="15">
        <v>8.5299999999999994</v>
      </c>
      <c r="H199" s="18">
        <f t="shared" si="12"/>
        <v>707.9899999999999</v>
      </c>
      <c r="J199" s="66"/>
    </row>
    <row r="200" spans="1:10" s="69" customFormat="1" outlineLevel="1">
      <c r="A200" s="17" t="s">
        <v>157</v>
      </c>
      <c r="B200" s="17">
        <v>83555</v>
      </c>
      <c r="C200" s="17" t="s">
        <v>299</v>
      </c>
      <c r="D200" s="20" t="s">
        <v>650</v>
      </c>
      <c r="E200" s="19" t="s">
        <v>294</v>
      </c>
      <c r="F200" s="56">
        <v>21</v>
      </c>
      <c r="G200" s="15">
        <v>15.05</v>
      </c>
      <c r="H200" s="18">
        <f t="shared" si="12"/>
        <v>316.05</v>
      </c>
      <c r="J200" s="66"/>
    </row>
    <row r="201" spans="1:10" s="69" customFormat="1" outlineLevel="1">
      <c r="A201" s="17" t="s">
        <v>158</v>
      </c>
      <c r="B201" s="17">
        <v>83466</v>
      </c>
      <c r="C201" s="17" t="s">
        <v>299</v>
      </c>
      <c r="D201" s="20" t="s">
        <v>651</v>
      </c>
      <c r="E201" s="19" t="s">
        <v>294</v>
      </c>
      <c r="F201" s="56">
        <v>3</v>
      </c>
      <c r="G201" s="15">
        <v>15.49</v>
      </c>
      <c r="H201" s="18">
        <f t="shared" si="12"/>
        <v>46.47</v>
      </c>
      <c r="J201" s="66"/>
    </row>
    <row r="202" spans="1:10" s="69" customFormat="1" ht="25.5" outlineLevel="1">
      <c r="A202" s="17" t="s">
        <v>159</v>
      </c>
      <c r="B202" s="17">
        <v>72339</v>
      </c>
      <c r="C202" s="17" t="s">
        <v>299</v>
      </c>
      <c r="D202" s="20" t="s">
        <v>652</v>
      </c>
      <c r="E202" s="19" t="s">
        <v>294</v>
      </c>
      <c r="F202" s="56">
        <v>3</v>
      </c>
      <c r="G202" s="15">
        <v>23.02</v>
      </c>
      <c r="H202" s="18">
        <f t="shared" si="12"/>
        <v>69.06</v>
      </c>
      <c r="J202" s="66"/>
    </row>
    <row r="203" spans="1:10" s="69" customFormat="1" outlineLevel="1">
      <c r="A203" s="17" t="s">
        <v>160</v>
      </c>
      <c r="B203" s="17">
        <v>72334</v>
      </c>
      <c r="C203" s="17" t="s">
        <v>299</v>
      </c>
      <c r="D203" s="20" t="s">
        <v>653</v>
      </c>
      <c r="E203" s="19" t="s">
        <v>294</v>
      </c>
      <c r="F203" s="56">
        <v>6</v>
      </c>
      <c r="G203" s="15">
        <v>8.3800000000000008</v>
      </c>
      <c r="H203" s="18">
        <f t="shared" si="12"/>
        <v>50.28</v>
      </c>
      <c r="J203" s="66"/>
    </row>
    <row r="204" spans="1:10" s="69" customFormat="1" outlineLevel="1">
      <c r="A204" s="17" t="s">
        <v>161</v>
      </c>
      <c r="B204" s="17">
        <v>71432</v>
      </c>
      <c r="C204" s="17" t="s">
        <v>299</v>
      </c>
      <c r="D204" s="20" t="s">
        <v>654</v>
      </c>
      <c r="E204" s="19" t="s">
        <v>294</v>
      </c>
      <c r="F204" s="56">
        <v>1</v>
      </c>
      <c r="G204" s="15">
        <v>23.96</v>
      </c>
      <c r="H204" s="18">
        <f t="shared" si="12"/>
        <v>23.96</v>
      </c>
      <c r="J204" s="66"/>
    </row>
    <row r="205" spans="1:10" s="69" customFormat="1" outlineLevel="1">
      <c r="A205" s="17" t="s">
        <v>164</v>
      </c>
      <c r="B205" s="17">
        <v>72331</v>
      </c>
      <c r="C205" s="17" t="s">
        <v>299</v>
      </c>
      <c r="D205" s="20" t="s">
        <v>655</v>
      </c>
      <c r="E205" s="19" t="s">
        <v>294</v>
      </c>
      <c r="F205" s="56">
        <v>19</v>
      </c>
      <c r="G205" s="15">
        <v>6.84</v>
      </c>
      <c r="H205" s="18">
        <f t="shared" si="12"/>
        <v>129.96</v>
      </c>
      <c r="J205" s="66"/>
    </row>
    <row r="206" spans="1:10" s="69" customFormat="1" outlineLevel="1">
      <c r="A206" s="17" t="s">
        <v>166</v>
      </c>
      <c r="B206" s="17">
        <v>83467</v>
      </c>
      <c r="C206" s="17" t="s">
        <v>299</v>
      </c>
      <c r="D206" s="20" t="s">
        <v>656</v>
      </c>
      <c r="E206" s="19" t="s">
        <v>294</v>
      </c>
      <c r="F206" s="56">
        <v>1</v>
      </c>
      <c r="G206" s="15">
        <v>20.45</v>
      </c>
      <c r="H206" s="18">
        <f t="shared" si="12"/>
        <v>20.45</v>
      </c>
      <c r="J206" s="66"/>
    </row>
    <row r="207" spans="1:10" s="69" customFormat="1" outlineLevel="1">
      <c r="A207" s="17" t="s">
        <v>168</v>
      </c>
      <c r="B207" s="17" t="s">
        <v>7</v>
      </c>
      <c r="C207" s="17"/>
      <c r="D207" s="20" t="s">
        <v>657</v>
      </c>
      <c r="E207" s="19" t="s">
        <v>294</v>
      </c>
      <c r="F207" s="56">
        <v>1</v>
      </c>
      <c r="G207" s="15">
        <v>36.35</v>
      </c>
      <c r="H207" s="18">
        <f t="shared" si="12"/>
        <v>36.35</v>
      </c>
      <c r="J207" s="66"/>
    </row>
    <row r="208" spans="1:10" s="69" customFormat="1" outlineLevel="1">
      <c r="A208" s="17" t="s">
        <v>170</v>
      </c>
      <c r="B208" s="17" t="s">
        <v>162</v>
      </c>
      <c r="C208" s="17" t="s">
        <v>299</v>
      </c>
      <c r="D208" s="20" t="s">
        <v>163</v>
      </c>
      <c r="E208" s="19" t="s">
        <v>294</v>
      </c>
      <c r="F208" s="56">
        <v>65</v>
      </c>
      <c r="G208" s="15">
        <v>73.3</v>
      </c>
      <c r="H208" s="18">
        <f t="shared" si="12"/>
        <v>4764.5</v>
      </c>
      <c r="J208" s="66"/>
    </row>
    <row r="209" spans="1:10" s="69" customFormat="1" outlineLevel="1">
      <c r="A209" s="17" t="s">
        <v>171</v>
      </c>
      <c r="B209" s="17" t="s">
        <v>165</v>
      </c>
      <c r="C209" s="17" t="s">
        <v>299</v>
      </c>
      <c r="D209" s="20" t="s">
        <v>658</v>
      </c>
      <c r="E209" s="19" t="s">
        <v>294</v>
      </c>
      <c r="F209" s="56">
        <v>13</v>
      </c>
      <c r="G209" s="15">
        <v>68.03</v>
      </c>
      <c r="H209" s="18">
        <f t="shared" si="12"/>
        <v>884.39</v>
      </c>
      <c r="J209" s="66"/>
    </row>
    <row r="210" spans="1:10" s="69" customFormat="1" outlineLevel="1">
      <c r="A210" s="17" t="s">
        <v>174</v>
      </c>
      <c r="B210" s="17" t="s">
        <v>7</v>
      </c>
      <c r="C210" s="17"/>
      <c r="D210" s="20" t="s">
        <v>167</v>
      </c>
      <c r="E210" s="19" t="s">
        <v>294</v>
      </c>
      <c r="F210" s="56">
        <v>17</v>
      </c>
      <c r="G210" s="15">
        <v>79</v>
      </c>
      <c r="H210" s="18">
        <f t="shared" si="12"/>
        <v>1343</v>
      </c>
      <c r="J210" s="66"/>
    </row>
    <row r="211" spans="1:10" s="69" customFormat="1" outlineLevel="1">
      <c r="A211" s="17" t="s">
        <v>175</v>
      </c>
      <c r="B211" s="17">
        <v>74246</v>
      </c>
      <c r="C211" s="17" t="s">
        <v>299</v>
      </c>
      <c r="D211" s="20" t="s">
        <v>169</v>
      </c>
      <c r="E211" s="19" t="s">
        <v>294</v>
      </c>
      <c r="F211" s="56">
        <v>16</v>
      </c>
      <c r="G211" s="15">
        <v>209.68</v>
      </c>
      <c r="H211" s="18">
        <f t="shared" si="12"/>
        <v>3354.88</v>
      </c>
      <c r="J211" s="66"/>
    </row>
    <row r="212" spans="1:10" s="69" customFormat="1" outlineLevel="1">
      <c r="A212" s="17" t="s">
        <v>177</v>
      </c>
      <c r="B212" s="17" t="s">
        <v>7</v>
      </c>
      <c r="C212" s="17"/>
      <c r="D212" s="20" t="s">
        <v>660</v>
      </c>
      <c r="E212" s="19" t="s">
        <v>294</v>
      </c>
      <c r="F212" s="56">
        <v>4</v>
      </c>
      <c r="G212" s="15">
        <v>90</v>
      </c>
      <c r="H212" s="18">
        <f t="shared" si="12"/>
        <v>360</v>
      </c>
      <c r="J212" s="66"/>
    </row>
    <row r="213" spans="1:10" s="69" customFormat="1" outlineLevel="1">
      <c r="A213" s="17" t="s">
        <v>661</v>
      </c>
      <c r="B213" s="17" t="s">
        <v>172</v>
      </c>
      <c r="C213" s="17" t="s">
        <v>299</v>
      </c>
      <c r="D213" s="20" t="s">
        <v>173</v>
      </c>
      <c r="E213" s="19" t="s">
        <v>294</v>
      </c>
      <c r="F213" s="56">
        <v>22</v>
      </c>
      <c r="G213" s="15">
        <v>69.290000000000006</v>
      </c>
      <c r="H213" s="18">
        <f t="shared" si="12"/>
        <v>1524.38</v>
      </c>
      <c r="J213" s="66"/>
    </row>
    <row r="214" spans="1:10" s="69" customFormat="1" outlineLevel="1">
      <c r="A214" s="17" t="s">
        <v>662</v>
      </c>
      <c r="B214" s="17">
        <v>83440</v>
      </c>
      <c r="C214" s="17" t="s">
        <v>299</v>
      </c>
      <c r="D214" s="20" t="s">
        <v>176</v>
      </c>
      <c r="E214" s="19" t="s">
        <v>294</v>
      </c>
      <c r="F214" s="56">
        <v>137</v>
      </c>
      <c r="G214" s="15">
        <v>3.44</v>
      </c>
      <c r="H214" s="18">
        <f t="shared" si="12"/>
        <v>471.28</v>
      </c>
      <c r="J214" s="66"/>
    </row>
    <row r="215" spans="1:10" s="69" customFormat="1" outlineLevel="1">
      <c r="A215" s="17" t="s">
        <v>663</v>
      </c>
      <c r="B215" s="17">
        <v>83438</v>
      </c>
      <c r="C215" s="17" t="s">
        <v>299</v>
      </c>
      <c r="D215" s="20" t="s">
        <v>178</v>
      </c>
      <c r="E215" s="19" t="s">
        <v>294</v>
      </c>
      <c r="F215" s="56">
        <v>121</v>
      </c>
      <c r="G215" s="15">
        <v>4.33</v>
      </c>
      <c r="H215" s="18">
        <f t="shared" si="12"/>
        <v>523.93000000000006</v>
      </c>
      <c r="J215" s="66"/>
    </row>
    <row r="216" spans="1:10" s="69" customFormat="1" outlineLevel="1">
      <c r="A216" s="17" t="s">
        <v>664</v>
      </c>
      <c r="B216" s="17">
        <v>83442</v>
      </c>
      <c r="C216" s="17" t="s">
        <v>299</v>
      </c>
      <c r="D216" s="20" t="s">
        <v>659</v>
      </c>
      <c r="E216" s="19" t="s">
        <v>294</v>
      </c>
      <c r="F216" s="56">
        <v>1</v>
      </c>
      <c r="G216" s="15">
        <v>4.04</v>
      </c>
      <c r="H216" s="18">
        <f t="shared" si="12"/>
        <v>4.04</v>
      </c>
      <c r="J216" s="66"/>
    </row>
    <row r="217" spans="1:10" s="69" customFormat="1" outlineLevel="1">
      <c r="A217" s="67"/>
      <c r="B217" s="67"/>
      <c r="C217" s="17"/>
      <c r="D217" s="20"/>
      <c r="E217" s="13"/>
      <c r="F217" s="56"/>
      <c r="G217" s="15"/>
      <c r="H217" s="18"/>
      <c r="J217" s="66"/>
    </row>
    <row r="218" spans="1:10" outlineLevel="1">
      <c r="A218" s="74" t="s">
        <v>179</v>
      </c>
      <c r="B218" s="9"/>
      <c r="C218" s="9"/>
      <c r="D218" s="23" t="s">
        <v>34</v>
      </c>
      <c r="E218" s="36"/>
      <c r="F218" s="37"/>
      <c r="G218" s="37"/>
      <c r="H218" s="18"/>
      <c r="J218" s="43"/>
    </row>
    <row r="219" spans="1:10" outlineLevel="1">
      <c r="A219" s="74" t="s">
        <v>180</v>
      </c>
      <c r="B219" s="9"/>
      <c r="C219" s="9"/>
      <c r="D219" s="23" t="s">
        <v>181</v>
      </c>
      <c r="E219" s="36"/>
      <c r="F219" s="37"/>
      <c r="G219" s="37"/>
      <c r="H219" s="18"/>
      <c r="J219" s="43"/>
    </row>
    <row r="220" spans="1:10" s="69" customFormat="1" outlineLevel="1">
      <c r="A220" s="14" t="s">
        <v>182</v>
      </c>
      <c r="B220" s="5" t="s">
        <v>7</v>
      </c>
      <c r="C220" s="13" t="s">
        <v>8</v>
      </c>
      <c r="D220" s="90" t="s">
        <v>665</v>
      </c>
      <c r="E220" s="91" t="s">
        <v>666</v>
      </c>
      <c r="F220" s="12">
        <v>1</v>
      </c>
      <c r="G220" s="18">
        <v>1200</v>
      </c>
      <c r="H220" s="18">
        <f t="shared" ref="H220:H227" si="13">F220*G220</f>
        <v>1200</v>
      </c>
      <c r="J220" s="66"/>
    </row>
    <row r="221" spans="1:10" outlineLevel="1">
      <c r="A221" s="14" t="s">
        <v>183</v>
      </c>
      <c r="B221" s="13">
        <v>71887</v>
      </c>
      <c r="C221" s="17" t="s">
        <v>299</v>
      </c>
      <c r="D221" s="90" t="s">
        <v>667</v>
      </c>
      <c r="E221" s="91" t="s">
        <v>666</v>
      </c>
      <c r="F221" s="12">
        <v>4</v>
      </c>
      <c r="G221" s="18">
        <v>276.17</v>
      </c>
      <c r="H221" s="18">
        <f t="shared" si="13"/>
        <v>1104.68</v>
      </c>
      <c r="J221" s="43"/>
    </row>
    <row r="222" spans="1:10" outlineLevel="1">
      <c r="A222" s="14" t="s">
        <v>185</v>
      </c>
      <c r="B222" s="17" t="s">
        <v>7</v>
      </c>
      <c r="C222" s="17" t="s">
        <v>8</v>
      </c>
      <c r="D222" s="20" t="s">
        <v>184</v>
      </c>
      <c r="E222" s="13" t="s">
        <v>36</v>
      </c>
      <c r="F222" s="54">
        <v>2</v>
      </c>
      <c r="G222" s="15">
        <v>650</v>
      </c>
      <c r="H222" s="18">
        <f t="shared" si="13"/>
        <v>1300</v>
      </c>
      <c r="J222" s="43"/>
    </row>
    <row r="223" spans="1:10" outlineLevel="1">
      <c r="A223" s="14" t="s">
        <v>187</v>
      </c>
      <c r="B223" s="17" t="s">
        <v>7</v>
      </c>
      <c r="C223" s="17" t="s">
        <v>8</v>
      </c>
      <c r="D223" s="20" t="s">
        <v>186</v>
      </c>
      <c r="E223" s="13" t="s">
        <v>36</v>
      </c>
      <c r="F223" s="54">
        <v>4</v>
      </c>
      <c r="G223" s="15">
        <v>75</v>
      </c>
      <c r="H223" s="18">
        <f t="shared" si="13"/>
        <v>300</v>
      </c>
      <c r="J223" s="43"/>
    </row>
    <row r="224" spans="1:10" outlineLevel="1">
      <c r="A224" s="14" t="s">
        <v>188</v>
      </c>
      <c r="B224" s="17" t="s">
        <v>7</v>
      </c>
      <c r="C224" s="17" t="s">
        <v>8</v>
      </c>
      <c r="D224" s="20" t="s">
        <v>37</v>
      </c>
      <c r="E224" s="13" t="s">
        <v>36</v>
      </c>
      <c r="F224" s="54">
        <v>5</v>
      </c>
      <c r="G224" s="15">
        <v>20.62</v>
      </c>
      <c r="H224" s="18">
        <f t="shared" si="13"/>
        <v>103.10000000000001</v>
      </c>
      <c r="J224" s="43"/>
    </row>
    <row r="225" spans="1:10" outlineLevel="1">
      <c r="A225" s="14" t="s">
        <v>189</v>
      </c>
      <c r="B225" s="17" t="s">
        <v>7</v>
      </c>
      <c r="C225" s="17" t="s">
        <v>8</v>
      </c>
      <c r="D225" s="20" t="s">
        <v>38</v>
      </c>
      <c r="E225" s="13" t="s">
        <v>36</v>
      </c>
      <c r="F225" s="54">
        <v>4</v>
      </c>
      <c r="G225" s="15">
        <v>20.62</v>
      </c>
      <c r="H225" s="18">
        <f t="shared" si="13"/>
        <v>82.48</v>
      </c>
      <c r="J225" s="43"/>
    </row>
    <row r="226" spans="1:10" outlineLevel="1">
      <c r="A226" s="14" t="s">
        <v>190</v>
      </c>
      <c r="B226" s="17" t="s">
        <v>7</v>
      </c>
      <c r="C226" s="17" t="s">
        <v>8</v>
      </c>
      <c r="D226" s="20" t="s">
        <v>39</v>
      </c>
      <c r="E226" s="13" t="s">
        <v>36</v>
      </c>
      <c r="F226" s="54">
        <v>4</v>
      </c>
      <c r="G226" s="15">
        <v>20.62</v>
      </c>
      <c r="H226" s="18">
        <f t="shared" si="13"/>
        <v>82.48</v>
      </c>
      <c r="J226" s="43"/>
    </row>
    <row r="227" spans="1:10" outlineLevel="1">
      <c r="A227" s="6" t="s">
        <v>668</v>
      </c>
      <c r="B227" s="17" t="s">
        <v>7</v>
      </c>
      <c r="C227" s="17" t="s">
        <v>8</v>
      </c>
      <c r="D227" s="20" t="s">
        <v>40</v>
      </c>
      <c r="E227" s="13" t="s">
        <v>36</v>
      </c>
      <c r="F227" s="54">
        <v>1</v>
      </c>
      <c r="G227" s="15">
        <v>20.62</v>
      </c>
      <c r="H227" s="18">
        <f t="shared" si="13"/>
        <v>20.62</v>
      </c>
      <c r="J227" s="43"/>
    </row>
    <row r="228" spans="1:10" outlineLevel="1">
      <c r="B228" s="17"/>
      <c r="C228" s="17"/>
      <c r="D228" s="20"/>
      <c r="E228" s="13"/>
      <c r="F228" s="54"/>
      <c r="G228" s="15"/>
      <c r="H228" s="18"/>
      <c r="J228" s="43"/>
    </row>
    <row r="229" spans="1:10" outlineLevel="1">
      <c r="B229" s="17"/>
      <c r="C229" s="17"/>
      <c r="D229" s="20"/>
      <c r="E229" s="13"/>
      <c r="F229" s="54"/>
      <c r="G229" s="15"/>
      <c r="H229" s="18"/>
      <c r="J229" s="43"/>
    </row>
    <row r="230" spans="1:10" outlineLevel="1">
      <c r="A230" s="9" t="s">
        <v>191</v>
      </c>
      <c r="B230" s="9"/>
      <c r="C230" s="9"/>
      <c r="D230" s="23" t="s">
        <v>192</v>
      </c>
      <c r="E230" s="36"/>
      <c r="F230" s="37"/>
      <c r="G230" s="37"/>
      <c r="H230" s="18"/>
      <c r="J230" s="43"/>
    </row>
    <row r="231" spans="1:10" outlineLevel="1">
      <c r="A231" s="14" t="s">
        <v>193</v>
      </c>
      <c r="B231" s="17" t="s">
        <v>7</v>
      </c>
      <c r="C231" s="17" t="s">
        <v>8</v>
      </c>
      <c r="D231" s="20" t="s">
        <v>669</v>
      </c>
      <c r="E231" s="13" t="s">
        <v>326</v>
      </c>
      <c r="F231" s="54">
        <v>480</v>
      </c>
      <c r="G231" s="15">
        <v>2.2599999999999998</v>
      </c>
      <c r="H231" s="18">
        <f t="shared" ref="H231:H232" si="14">F231*G231</f>
        <v>1084.8</v>
      </c>
      <c r="J231" s="43"/>
    </row>
    <row r="232" spans="1:10" s="69" customFormat="1" outlineLevel="1">
      <c r="A232" s="14" t="s">
        <v>580</v>
      </c>
      <c r="B232" s="17" t="s">
        <v>7</v>
      </c>
      <c r="C232" s="17" t="s">
        <v>8</v>
      </c>
      <c r="D232" s="20" t="s">
        <v>194</v>
      </c>
      <c r="E232" s="13" t="s">
        <v>326</v>
      </c>
      <c r="F232" s="54">
        <v>50</v>
      </c>
      <c r="G232" s="15">
        <v>3.25</v>
      </c>
      <c r="H232" s="18">
        <f t="shared" si="14"/>
        <v>162.5</v>
      </c>
      <c r="J232" s="66"/>
    </row>
    <row r="233" spans="1:10" s="69" customFormat="1" outlineLevel="1">
      <c r="A233" s="14"/>
      <c r="B233" s="17"/>
      <c r="C233" s="17"/>
      <c r="D233" s="20"/>
      <c r="E233" s="13"/>
      <c r="F233" s="54"/>
      <c r="G233" s="15"/>
      <c r="H233" s="18"/>
      <c r="J233" s="66"/>
    </row>
    <row r="234" spans="1:10" outlineLevel="1">
      <c r="A234" s="9" t="s">
        <v>195</v>
      </c>
      <c r="B234" s="9"/>
      <c r="C234" s="9"/>
      <c r="D234" s="23" t="s">
        <v>196</v>
      </c>
      <c r="E234" s="36"/>
      <c r="F234" s="37"/>
      <c r="G234" s="37"/>
      <c r="H234" s="18"/>
      <c r="J234" s="43"/>
    </row>
    <row r="235" spans="1:10" outlineLevel="1">
      <c r="A235" s="14" t="s">
        <v>197</v>
      </c>
      <c r="B235" s="14" t="s">
        <v>7</v>
      </c>
      <c r="C235" s="14" t="s">
        <v>8</v>
      </c>
      <c r="D235" s="20" t="s">
        <v>670</v>
      </c>
      <c r="E235" s="13" t="s">
        <v>36</v>
      </c>
      <c r="F235" s="54">
        <v>72</v>
      </c>
      <c r="G235" s="15">
        <v>12.97</v>
      </c>
      <c r="H235" s="18">
        <f t="shared" ref="H235" si="15">F235*G235</f>
        <v>933.84</v>
      </c>
      <c r="J235" s="43"/>
    </row>
    <row r="236" spans="1:10" outlineLevel="1">
      <c r="A236" s="14"/>
      <c r="B236" s="14"/>
      <c r="C236" s="14"/>
      <c r="D236" s="20"/>
      <c r="E236" s="13"/>
      <c r="F236" s="54"/>
      <c r="G236" s="15"/>
      <c r="H236" s="18"/>
      <c r="J236" s="43"/>
    </row>
    <row r="237" spans="1:10" outlineLevel="1">
      <c r="A237" s="9" t="s">
        <v>198</v>
      </c>
      <c r="B237" s="9"/>
      <c r="C237" s="9"/>
      <c r="D237" s="23" t="s">
        <v>199</v>
      </c>
      <c r="E237" s="36"/>
      <c r="F237" s="37"/>
      <c r="G237" s="37"/>
      <c r="H237" s="18"/>
      <c r="J237" s="43"/>
    </row>
    <row r="238" spans="1:10" s="69" customFormat="1" outlineLevel="1">
      <c r="A238" s="14" t="s">
        <v>200</v>
      </c>
      <c r="B238" s="14" t="s">
        <v>7</v>
      </c>
      <c r="C238" s="14" t="s">
        <v>8</v>
      </c>
      <c r="D238" s="20" t="s">
        <v>44</v>
      </c>
      <c r="E238" s="13" t="s">
        <v>36</v>
      </c>
      <c r="F238" s="54">
        <v>33</v>
      </c>
      <c r="G238" s="15">
        <v>19.48</v>
      </c>
      <c r="H238" s="18">
        <f t="shared" ref="H238:H239" si="16">F238*G238</f>
        <v>642.84</v>
      </c>
      <c r="J238" s="66"/>
    </row>
    <row r="239" spans="1:10" s="69" customFormat="1" outlineLevel="1">
      <c r="A239" s="14" t="s">
        <v>201</v>
      </c>
      <c r="B239" s="14" t="s">
        <v>7</v>
      </c>
      <c r="C239" s="14" t="s">
        <v>8</v>
      </c>
      <c r="D239" s="20" t="s">
        <v>45</v>
      </c>
      <c r="E239" s="13" t="s">
        <v>36</v>
      </c>
      <c r="F239" s="54">
        <v>4</v>
      </c>
      <c r="G239" s="15">
        <v>8.9</v>
      </c>
      <c r="H239" s="18">
        <f t="shared" si="16"/>
        <v>35.6</v>
      </c>
      <c r="J239" s="66"/>
    </row>
    <row r="240" spans="1:10" s="69" customFormat="1" outlineLevel="1">
      <c r="A240" s="14"/>
      <c r="B240" s="14"/>
      <c r="C240" s="14"/>
      <c r="D240" s="20"/>
      <c r="E240" s="13"/>
      <c r="F240" s="54"/>
      <c r="G240" s="15"/>
      <c r="H240" s="18"/>
      <c r="J240" s="66"/>
    </row>
    <row r="241" spans="1:10" s="69" customFormat="1" outlineLevel="1">
      <c r="A241" s="9" t="s">
        <v>202</v>
      </c>
      <c r="B241" s="9"/>
      <c r="C241" s="9"/>
      <c r="D241" s="23" t="s">
        <v>203</v>
      </c>
      <c r="E241" s="36"/>
      <c r="F241" s="37"/>
      <c r="G241" s="37"/>
      <c r="H241" s="18"/>
      <c r="J241" s="66"/>
    </row>
    <row r="242" spans="1:10" s="69" customFormat="1" ht="25.5" outlineLevel="1">
      <c r="A242" s="14" t="s">
        <v>204</v>
      </c>
      <c r="B242" s="14" t="s">
        <v>671</v>
      </c>
      <c r="C242" s="14" t="s">
        <v>299</v>
      </c>
      <c r="D242" s="20" t="s">
        <v>205</v>
      </c>
      <c r="E242" s="13" t="s">
        <v>36</v>
      </c>
      <c r="F242" s="54">
        <v>5</v>
      </c>
      <c r="G242" s="15">
        <v>127.47</v>
      </c>
      <c r="H242" s="18">
        <f t="shared" ref="H242:H245" si="17">F242*G242</f>
        <v>637.35</v>
      </c>
      <c r="J242" s="66"/>
    </row>
    <row r="243" spans="1:10" s="69" customFormat="1" ht="25.5" outlineLevel="1">
      <c r="A243" s="62" t="s">
        <v>206</v>
      </c>
      <c r="B243" s="14" t="s">
        <v>672</v>
      </c>
      <c r="C243" s="14" t="s">
        <v>8</v>
      </c>
      <c r="D243" s="20" t="s">
        <v>673</v>
      </c>
      <c r="E243" s="13" t="s">
        <v>36</v>
      </c>
      <c r="F243" s="54">
        <v>7</v>
      </c>
      <c r="G243" s="15">
        <v>89.45</v>
      </c>
      <c r="H243" s="18">
        <f t="shared" si="17"/>
        <v>626.15</v>
      </c>
      <c r="J243" s="66"/>
    </row>
    <row r="244" spans="1:10" s="69" customFormat="1" ht="25.5" outlineLevel="1">
      <c r="A244" s="14" t="s">
        <v>207</v>
      </c>
      <c r="B244" s="17" t="s">
        <v>671</v>
      </c>
      <c r="C244" s="17" t="s">
        <v>299</v>
      </c>
      <c r="D244" s="20" t="s">
        <v>674</v>
      </c>
      <c r="E244" s="13" t="s">
        <v>36</v>
      </c>
      <c r="F244" s="56">
        <v>6</v>
      </c>
      <c r="G244" s="15">
        <v>34.94</v>
      </c>
      <c r="H244" s="18">
        <f t="shared" si="17"/>
        <v>209.64</v>
      </c>
      <c r="J244" s="66"/>
    </row>
    <row r="245" spans="1:10" s="69" customFormat="1" ht="25.5" outlineLevel="1">
      <c r="A245" s="62" t="s">
        <v>208</v>
      </c>
      <c r="B245" s="17">
        <v>83449</v>
      </c>
      <c r="C245" s="17" t="s">
        <v>299</v>
      </c>
      <c r="D245" s="92" t="s">
        <v>675</v>
      </c>
      <c r="E245" s="13" t="s">
        <v>36</v>
      </c>
      <c r="F245" s="1">
        <v>5</v>
      </c>
      <c r="G245" s="56">
        <v>192.91</v>
      </c>
      <c r="H245" s="18">
        <f t="shared" si="17"/>
        <v>964.55</v>
      </c>
      <c r="J245" s="66"/>
    </row>
    <row r="246" spans="1:10" s="69" customFormat="1" outlineLevel="1">
      <c r="A246" s="62"/>
      <c r="B246" s="62"/>
      <c r="C246" s="62"/>
      <c r="D246" s="73"/>
      <c r="E246" s="63"/>
      <c r="F246" s="59"/>
      <c r="G246" s="64"/>
      <c r="H246" s="18"/>
      <c r="J246" s="66"/>
    </row>
    <row r="247" spans="1:10" outlineLevel="1">
      <c r="A247" s="9" t="s">
        <v>209</v>
      </c>
      <c r="B247" s="9"/>
      <c r="C247" s="9"/>
      <c r="D247" s="11" t="s">
        <v>138</v>
      </c>
      <c r="E247" s="12"/>
      <c r="F247" s="15"/>
      <c r="G247" s="15"/>
      <c r="H247" s="18"/>
      <c r="J247" s="43"/>
    </row>
    <row r="248" spans="1:10" s="69" customFormat="1" outlineLevel="1">
      <c r="A248" s="14" t="s">
        <v>210</v>
      </c>
      <c r="B248" s="17">
        <v>72936</v>
      </c>
      <c r="C248" s="17" t="s">
        <v>299</v>
      </c>
      <c r="D248" s="20" t="s">
        <v>676</v>
      </c>
      <c r="E248" s="13" t="s">
        <v>326</v>
      </c>
      <c r="F248" s="54">
        <v>120</v>
      </c>
      <c r="G248" s="15">
        <v>5.59</v>
      </c>
      <c r="H248" s="18">
        <f t="shared" ref="H248:H256" si="18">F248*G248</f>
        <v>670.8</v>
      </c>
      <c r="J248" s="66"/>
    </row>
    <row r="249" spans="1:10" s="69" customFormat="1" outlineLevel="1">
      <c r="A249" s="14" t="s">
        <v>211</v>
      </c>
      <c r="B249" s="14">
        <v>72309</v>
      </c>
      <c r="C249" s="14" t="s">
        <v>299</v>
      </c>
      <c r="D249" s="20" t="s">
        <v>487</v>
      </c>
      <c r="E249" s="13" t="s">
        <v>326</v>
      </c>
      <c r="F249" s="54">
        <v>72</v>
      </c>
      <c r="G249" s="15">
        <v>6.85</v>
      </c>
      <c r="H249" s="18">
        <f t="shared" si="18"/>
        <v>493.2</v>
      </c>
      <c r="J249" s="66"/>
    </row>
    <row r="250" spans="1:10" s="69" customFormat="1" outlineLevel="1">
      <c r="A250" s="14" t="s">
        <v>581</v>
      </c>
      <c r="B250" s="14" t="s">
        <v>7</v>
      </c>
      <c r="C250" s="14" t="s">
        <v>8</v>
      </c>
      <c r="D250" s="20" t="s">
        <v>488</v>
      </c>
      <c r="E250" s="13" t="s">
        <v>326</v>
      </c>
      <c r="F250" s="54">
        <v>36</v>
      </c>
      <c r="G250" s="15">
        <v>18.690000000000001</v>
      </c>
      <c r="H250" s="18">
        <f t="shared" si="18"/>
        <v>672.84</v>
      </c>
      <c r="J250" s="66"/>
    </row>
    <row r="251" spans="1:10" s="69" customFormat="1" outlineLevel="1">
      <c r="A251" s="14" t="s">
        <v>582</v>
      </c>
      <c r="B251" s="14" t="s">
        <v>7</v>
      </c>
      <c r="C251" s="14" t="s">
        <v>8</v>
      </c>
      <c r="D251" s="20" t="s">
        <v>489</v>
      </c>
      <c r="E251" s="13" t="s">
        <v>294</v>
      </c>
      <c r="F251" s="54">
        <v>2</v>
      </c>
      <c r="G251" s="15">
        <v>15.01</v>
      </c>
      <c r="H251" s="18">
        <f t="shared" si="18"/>
        <v>30.02</v>
      </c>
      <c r="J251" s="66"/>
    </row>
    <row r="252" spans="1:10" s="69" customFormat="1" outlineLevel="1">
      <c r="A252" s="14" t="s">
        <v>583</v>
      </c>
      <c r="B252" s="14" t="s">
        <v>7</v>
      </c>
      <c r="C252" s="14" t="s">
        <v>8</v>
      </c>
      <c r="D252" s="20" t="s">
        <v>490</v>
      </c>
      <c r="E252" s="13" t="s">
        <v>294</v>
      </c>
      <c r="F252" s="54">
        <v>1</v>
      </c>
      <c r="G252" s="54">
        <v>20.010000000000002</v>
      </c>
      <c r="H252" s="18">
        <f t="shared" si="18"/>
        <v>20.010000000000002</v>
      </c>
      <c r="J252" s="66"/>
    </row>
    <row r="253" spans="1:10" s="69" customFormat="1" outlineLevel="1">
      <c r="A253" s="14" t="s">
        <v>584</v>
      </c>
      <c r="B253" s="14" t="s">
        <v>7</v>
      </c>
      <c r="C253" s="14" t="s">
        <v>8</v>
      </c>
      <c r="D253" s="20" t="s">
        <v>491</v>
      </c>
      <c r="E253" s="13" t="s">
        <v>294</v>
      </c>
      <c r="F253" s="54">
        <v>1</v>
      </c>
      <c r="G253" s="54">
        <v>14.8</v>
      </c>
      <c r="H253" s="18">
        <f t="shared" si="18"/>
        <v>14.8</v>
      </c>
      <c r="J253" s="66"/>
    </row>
    <row r="254" spans="1:10" s="69" customFormat="1" outlineLevel="1">
      <c r="A254" s="14" t="s">
        <v>585</v>
      </c>
      <c r="B254" s="14" t="s">
        <v>7</v>
      </c>
      <c r="C254" s="14" t="s">
        <v>8</v>
      </c>
      <c r="D254" s="20" t="s">
        <v>492</v>
      </c>
      <c r="E254" s="13" t="s">
        <v>294</v>
      </c>
      <c r="F254" s="54">
        <v>2</v>
      </c>
      <c r="G254" s="54">
        <v>18.829999999999998</v>
      </c>
      <c r="H254" s="18">
        <f t="shared" si="18"/>
        <v>37.659999999999997</v>
      </c>
      <c r="J254" s="66"/>
    </row>
    <row r="255" spans="1:10" s="69" customFormat="1" outlineLevel="1">
      <c r="A255" s="14" t="s">
        <v>586</v>
      </c>
      <c r="B255" s="14" t="s">
        <v>7</v>
      </c>
      <c r="C255" s="14" t="s">
        <v>8</v>
      </c>
      <c r="D255" s="20" t="s">
        <v>493</v>
      </c>
      <c r="E255" s="13" t="s">
        <v>294</v>
      </c>
      <c r="F255" s="54">
        <v>1</v>
      </c>
      <c r="G255" s="54">
        <v>3</v>
      </c>
      <c r="H255" s="18">
        <f t="shared" si="18"/>
        <v>3</v>
      </c>
      <c r="J255" s="66"/>
    </row>
    <row r="256" spans="1:10" s="69" customFormat="1" outlineLevel="1">
      <c r="A256" s="14" t="s">
        <v>677</v>
      </c>
      <c r="B256" s="14" t="s">
        <v>7</v>
      </c>
      <c r="C256" s="14" t="s">
        <v>8</v>
      </c>
      <c r="D256" s="20" t="s">
        <v>678</v>
      </c>
      <c r="E256" s="13" t="s">
        <v>679</v>
      </c>
      <c r="F256" s="54">
        <v>33</v>
      </c>
      <c r="G256" s="54">
        <v>120</v>
      </c>
      <c r="H256" s="18">
        <f t="shared" si="18"/>
        <v>3960</v>
      </c>
      <c r="J256" s="66"/>
    </row>
    <row r="257" spans="1:10" s="69" customFormat="1" outlineLevel="1">
      <c r="A257" s="14"/>
      <c r="B257" s="14"/>
      <c r="C257" s="14"/>
      <c r="D257" s="20"/>
      <c r="E257" s="13"/>
      <c r="F257" s="54"/>
      <c r="G257" s="54"/>
      <c r="H257" s="18"/>
      <c r="J257" s="66"/>
    </row>
    <row r="258" spans="1:10" s="69" customFormat="1" outlineLevel="1">
      <c r="A258" s="9" t="s">
        <v>680</v>
      </c>
      <c r="B258" s="12"/>
      <c r="C258" s="93"/>
      <c r="D258" s="94" t="s">
        <v>681</v>
      </c>
      <c r="E258" s="95"/>
      <c r="F258" s="54"/>
      <c r="G258" s="54"/>
      <c r="H258" s="18"/>
      <c r="J258" s="66"/>
    </row>
    <row r="259" spans="1:10" s="69" customFormat="1" outlineLevel="1">
      <c r="A259" s="14" t="s">
        <v>682</v>
      </c>
      <c r="B259" s="14">
        <v>72253</v>
      </c>
      <c r="C259" s="12"/>
      <c r="D259" s="20" t="s">
        <v>683</v>
      </c>
      <c r="E259" s="13" t="s">
        <v>326</v>
      </c>
      <c r="F259" s="54">
        <v>420</v>
      </c>
      <c r="G259" s="54">
        <v>16.149999999999999</v>
      </c>
      <c r="H259" s="18">
        <f t="shared" ref="H259:H263" si="19">F259*G259</f>
        <v>6782.9999999999991</v>
      </c>
      <c r="J259" s="66"/>
    </row>
    <row r="260" spans="1:10" s="69" customFormat="1" outlineLevel="1">
      <c r="A260" s="14" t="s">
        <v>684</v>
      </c>
      <c r="B260" s="14">
        <v>72262</v>
      </c>
      <c r="C260" s="12"/>
      <c r="D260" s="20" t="s">
        <v>685</v>
      </c>
      <c r="E260" s="13" t="s">
        <v>294</v>
      </c>
      <c r="F260" s="54">
        <v>200</v>
      </c>
      <c r="G260" s="54">
        <v>8.6300000000000008</v>
      </c>
      <c r="H260" s="18">
        <f t="shared" si="19"/>
        <v>1726.0000000000002</v>
      </c>
      <c r="J260" s="66"/>
    </row>
    <row r="261" spans="1:10" s="69" customFormat="1" outlineLevel="1">
      <c r="A261" s="14" t="s">
        <v>686</v>
      </c>
      <c r="B261" s="22">
        <v>72315</v>
      </c>
      <c r="C261" s="22"/>
      <c r="D261" s="20" t="s">
        <v>687</v>
      </c>
      <c r="E261" s="13" t="s">
        <v>294</v>
      </c>
      <c r="F261" s="54">
        <v>200</v>
      </c>
      <c r="G261" s="54">
        <v>15.8</v>
      </c>
      <c r="H261" s="18">
        <f t="shared" si="19"/>
        <v>3160</v>
      </c>
      <c r="J261" s="66"/>
    </row>
    <row r="262" spans="1:10" s="69" customFormat="1" outlineLevel="1">
      <c r="A262" s="14" t="s">
        <v>688</v>
      </c>
      <c r="B262" s="14">
        <v>8260</v>
      </c>
      <c r="C262" s="14"/>
      <c r="D262" s="20" t="s">
        <v>689</v>
      </c>
      <c r="E262" s="13" t="s">
        <v>294</v>
      </c>
      <c r="F262" s="54">
        <v>1</v>
      </c>
      <c r="G262" s="54">
        <v>1887.47</v>
      </c>
      <c r="H262" s="18">
        <f t="shared" si="19"/>
        <v>1887.47</v>
      </c>
      <c r="J262" s="66"/>
    </row>
    <row r="263" spans="1:10" s="69" customFormat="1" outlineLevel="1">
      <c r="A263" s="14"/>
      <c r="B263" s="62"/>
      <c r="C263" s="62"/>
      <c r="D263" s="61"/>
      <c r="E263" s="63"/>
      <c r="F263" s="54"/>
      <c r="G263" s="15"/>
      <c r="H263" s="18">
        <f t="shared" si="19"/>
        <v>0</v>
      </c>
      <c r="J263" s="66"/>
    </row>
    <row r="264" spans="1:10" ht="12.75" customHeight="1" outlineLevel="1">
      <c r="A264" s="22" t="s">
        <v>749</v>
      </c>
      <c r="B264" s="22"/>
      <c r="C264" s="22"/>
      <c r="D264" s="20"/>
      <c r="E264" s="23"/>
      <c r="F264" s="24"/>
      <c r="G264" s="24"/>
      <c r="H264" s="25">
        <f>SUM(H167:H263)</f>
        <v>67296.728000000003</v>
      </c>
      <c r="J264" s="43"/>
    </row>
    <row r="265" spans="1:10">
      <c r="A265" s="14"/>
      <c r="B265" s="14"/>
      <c r="C265" s="14"/>
      <c r="D265" s="21"/>
      <c r="E265" s="13"/>
      <c r="F265" s="54"/>
      <c r="G265" s="15"/>
      <c r="H265" s="18"/>
      <c r="J265" s="43"/>
    </row>
    <row r="266" spans="1:10">
      <c r="A266" s="29">
        <v>14</v>
      </c>
      <c r="B266" s="29"/>
      <c r="C266" s="29"/>
      <c r="D266" s="30" t="s">
        <v>212</v>
      </c>
      <c r="E266" s="30"/>
      <c r="F266" s="31"/>
      <c r="G266" s="31"/>
      <c r="H266" s="32">
        <f>H308</f>
        <v>84369.790000000023</v>
      </c>
      <c r="J266" s="137"/>
    </row>
    <row r="267" spans="1:10" s="69" customFormat="1" outlineLevel="1">
      <c r="A267" s="74" t="s">
        <v>47</v>
      </c>
      <c r="B267" s="74"/>
      <c r="C267" s="74"/>
      <c r="D267" s="75" t="s">
        <v>48</v>
      </c>
      <c r="E267" s="68"/>
      <c r="F267" s="64"/>
      <c r="G267" s="64"/>
      <c r="H267" s="18"/>
      <c r="J267" s="66"/>
    </row>
    <row r="268" spans="1:10" s="69" customFormat="1" outlineLevel="1">
      <c r="A268" s="62" t="s">
        <v>587</v>
      </c>
      <c r="B268" s="62" t="s">
        <v>593</v>
      </c>
      <c r="C268" s="62" t="s">
        <v>299</v>
      </c>
      <c r="D268" s="60" t="s">
        <v>494</v>
      </c>
      <c r="E268" s="63" t="s">
        <v>294</v>
      </c>
      <c r="F268" s="59">
        <v>1</v>
      </c>
      <c r="G268" s="64">
        <v>27.43</v>
      </c>
      <c r="H268" s="18">
        <f t="shared" ref="H268:H290" si="20">F268*G268</f>
        <v>27.43</v>
      </c>
      <c r="J268" s="66"/>
    </row>
    <row r="269" spans="1:10" s="69" customFormat="1" outlineLevel="1">
      <c r="A269" s="62" t="s">
        <v>49</v>
      </c>
      <c r="B269" s="14">
        <v>74184</v>
      </c>
      <c r="C269" s="14" t="s">
        <v>299</v>
      </c>
      <c r="D269" s="60" t="s">
        <v>495</v>
      </c>
      <c r="E269" s="63" t="s">
        <v>294</v>
      </c>
      <c r="F269" s="59">
        <v>5</v>
      </c>
      <c r="G269" s="64">
        <v>34.92</v>
      </c>
      <c r="H269" s="18">
        <f t="shared" si="20"/>
        <v>174.60000000000002</v>
      </c>
      <c r="J269" s="66"/>
    </row>
    <row r="270" spans="1:10" s="69" customFormat="1" outlineLevel="1">
      <c r="A270" s="62" t="s">
        <v>50</v>
      </c>
      <c r="B270" s="62" t="s">
        <v>594</v>
      </c>
      <c r="C270" s="14" t="s">
        <v>299</v>
      </c>
      <c r="D270" s="60" t="s">
        <v>496</v>
      </c>
      <c r="E270" s="63" t="s">
        <v>294</v>
      </c>
      <c r="F270" s="59">
        <v>1</v>
      </c>
      <c r="G270" s="64">
        <v>80.42</v>
      </c>
      <c r="H270" s="18">
        <f t="shared" si="20"/>
        <v>80.42</v>
      </c>
      <c r="J270" s="66"/>
    </row>
    <row r="271" spans="1:10" s="69" customFormat="1" outlineLevel="1">
      <c r="A271" s="62" t="s">
        <v>51</v>
      </c>
      <c r="B271" s="62" t="s">
        <v>595</v>
      </c>
      <c r="C271" s="62" t="s">
        <v>299</v>
      </c>
      <c r="D271" s="60" t="s">
        <v>497</v>
      </c>
      <c r="E271" s="63" t="s">
        <v>294</v>
      </c>
      <c r="F271" s="59">
        <v>1</v>
      </c>
      <c r="G271" s="64">
        <v>184.85</v>
      </c>
      <c r="H271" s="18">
        <f t="shared" si="20"/>
        <v>184.85</v>
      </c>
      <c r="J271" s="66"/>
    </row>
    <row r="272" spans="1:10" s="69" customFormat="1" outlineLevel="1">
      <c r="A272" s="62" t="s">
        <v>52</v>
      </c>
      <c r="B272" s="62" t="s">
        <v>596</v>
      </c>
      <c r="C272" s="62" t="s">
        <v>299</v>
      </c>
      <c r="D272" s="60" t="s">
        <v>498</v>
      </c>
      <c r="E272" s="63" t="s">
        <v>294</v>
      </c>
      <c r="F272" s="59">
        <v>13</v>
      </c>
      <c r="G272" s="64">
        <v>52.63</v>
      </c>
      <c r="H272" s="18">
        <f t="shared" si="20"/>
        <v>684.19</v>
      </c>
      <c r="J272" s="66"/>
    </row>
    <row r="273" spans="1:10" s="69" customFormat="1" outlineLevel="1">
      <c r="A273" s="62" t="s">
        <v>53</v>
      </c>
      <c r="B273" s="62" t="s">
        <v>597</v>
      </c>
      <c r="C273" s="62" t="s">
        <v>299</v>
      </c>
      <c r="D273" s="60" t="s">
        <v>499</v>
      </c>
      <c r="E273" s="63" t="s">
        <v>294</v>
      </c>
      <c r="F273" s="59">
        <v>8</v>
      </c>
      <c r="G273" s="64">
        <v>52.97</v>
      </c>
      <c r="H273" s="18">
        <f t="shared" si="20"/>
        <v>423.76</v>
      </c>
      <c r="J273" s="66"/>
    </row>
    <row r="274" spans="1:10" s="69" customFormat="1" outlineLevel="1">
      <c r="A274" s="62" t="s">
        <v>54</v>
      </c>
      <c r="B274" s="62" t="s">
        <v>598</v>
      </c>
      <c r="C274" s="62" t="s">
        <v>299</v>
      </c>
      <c r="D274" s="60" t="s">
        <v>599</v>
      </c>
      <c r="E274" s="63" t="s">
        <v>294</v>
      </c>
      <c r="F274" s="59">
        <v>1</v>
      </c>
      <c r="G274" s="64">
        <v>83.17</v>
      </c>
      <c r="H274" s="18">
        <f t="shared" si="20"/>
        <v>83.17</v>
      </c>
      <c r="J274" s="66"/>
    </row>
    <row r="275" spans="1:10" s="69" customFormat="1" outlineLevel="1">
      <c r="A275" s="62" t="s">
        <v>55</v>
      </c>
      <c r="B275" s="62" t="s">
        <v>213</v>
      </c>
      <c r="C275" s="14" t="s">
        <v>299</v>
      </c>
      <c r="D275" s="36" t="s">
        <v>500</v>
      </c>
      <c r="E275" s="13" t="s">
        <v>326</v>
      </c>
      <c r="F275" s="54">
        <v>300</v>
      </c>
      <c r="G275" s="15">
        <v>11.07</v>
      </c>
      <c r="H275" s="18">
        <f t="shared" si="20"/>
        <v>3321</v>
      </c>
      <c r="J275" s="66"/>
    </row>
    <row r="276" spans="1:10" s="69" customFormat="1" outlineLevel="1">
      <c r="A276" s="62" t="s">
        <v>56</v>
      </c>
      <c r="B276" s="62" t="s">
        <v>600</v>
      </c>
      <c r="C276" s="14" t="s">
        <v>299</v>
      </c>
      <c r="D276" s="36" t="s">
        <v>501</v>
      </c>
      <c r="E276" s="13" t="s">
        <v>326</v>
      </c>
      <c r="F276" s="54">
        <v>48</v>
      </c>
      <c r="G276" s="15">
        <v>16.75</v>
      </c>
      <c r="H276" s="18">
        <f t="shared" si="20"/>
        <v>804</v>
      </c>
      <c r="J276" s="66"/>
    </row>
    <row r="277" spans="1:10" s="69" customFormat="1" outlineLevel="1">
      <c r="A277" s="62" t="s">
        <v>57</v>
      </c>
      <c r="B277" s="62" t="s">
        <v>601</v>
      </c>
      <c r="C277" s="14" t="s">
        <v>299</v>
      </c>
      <c r="D277" s="36" t="s">
        <v>502</v>
      </c>
      <c r="E277" s="13" t="s">
        <v>326</v>
      </c>
      <c r="F277" s="54">
        <v>30</v>
      </c>
      <c r="G277" s="15">
        <v>20.89</v>
      </c>
      <c r="H277" s="18">
        <f t="shared" si="20"/>
        <v>626.70000000000005</v>
      </c>
      <c r="J277" s="66"/>
    </row>
    <row r="278" spans="1:10" s="69" customFormat="1" outlineLevel="1">
      <c r="A278" s="62" t="s">
        <v>58</v>
      </c>
      <c r="B278" s="62" t="s">
        <v>214</v>
      </c>
      <c r="C278" s="14" t="s">
        <v>299</v>
      </c>
      <c r="D278" s="36" t="s">
        <v>503</v>
      </c>
      <c r="E278" s="13" t="s">
        <v>326</v>
      </c>
      <c r="F278" s="54">
        <v>54</v>
      </c>
      <c r="G278" s="15">
        <v>23.78</v>
      </c>
      <c r="H278" s="18">
        <f t="shared" si="20"/>
        <v>1284.1200000000001</v>
      </c>
      <c r="J278" s="66"/>
    </row>
    <row r="279" spans="1:10" s="69" customFormat="1" outlineLevel="1">
      <c r="A279" s="62" t="s">
        <v>59</v>
      </c>
      <c r="B279" s="62" t="s">
        <v>602</v>
      </c>
      <c r="C279" s="14" t="s">
        <v>299</v>
      </c>
      <c r="D279" s="36" t="s">
        <v>504</v>
      </c>
      <c r="E279" s="13" t="s">
        <v>326</v>
      </c>
      <c r="F279" s="54">
        <v>12</v>
      </c>
      <c r="G279" s="15">
        <v>37.1</v>
      </c>
      <c r="H279" s="18">
        <f t="shared" si="20"/>
        <v>445.20000000000005</v>
      </c>
      <c r="J279" s="66"/>
    </row>
    <row r="280" spans="1:10" s="69" customFormat="1" outlineLevel="1">
      <c r="A280" s="62" t="s">
        <v>60</v>
      </c>
      <c r="B280" s="62" t="s">
        <v>215</v>
      </c>
      <c r="C280" s="14" t="s">
        <v>299</v>
      </c>
      <c r="D280" s="36" t="s">
        <v>505</v>
      </c>
      <c r="E280" s="13" t="s">
        <v>326</v>
      </c>
      <c r="F280" s="54">
        <v>78</v>
      </c>
      <c r="G280" s="15">
        <v>56.56</v>
      </c>
      <c r="H280" s="18">
        <f t="shared" si="20"/>
        <v>4411.68</v>
      </c>
      <c r="J280" s="66"/>
    </row>
    <row r="281" spans="1:10" s="69" customFormat="1" outlineLevel="1">
      <c r="A281" s="62" t="s">
        <v>61</v>
      </c>
      <c r="B281" s="62">
        <v>40729</v>
      </c>
      <c r="C281" s="14" t="s">
        <v>299</v>
      </c>
      <c r="D281" s="36" t="s">
        <v>216</v>
      </c>
      <c r="E281" s="13" t="s">
        <v>294</v>
      </c>
      <c r="F281" s="54">
        <v>11</v>
      </c>
      <c r="G281" s="15">
        <v>130.87</v>
      </c>
      <c r="H281" s="18">
        <f t="shared" si="20"/>
        <v>1439.5700000000002</v>
      </c>
      <c r="J281" s="66"/>
    </row>
    <row r="282" spans="1:10" s="69" customFormat="1" outlineLevel="1">
      <c r="A282" s="62" t="s">
        <v>62</v>
      </c>
      <c r="B282" s="62" t="s">
        <v>7</v>
      </c>
      <c r="C282" s="14" t="s">
        <v>8</v>
      </c>
      <c r="D282" s="12" t="s">
        <v>613</v>
      </c>
      <c r="E282" s="13" t="s">
        <v>294</v>
      </c>
      <c r="F282" s="54">
        <v>1</v>
      </c>
      <c r="G282" s="15">
        <v>44640</v>
      </c>
      <c r="H282" s="18">
        <f t="shared" si="20"/>
        <v>44640</v>
      </c>
      <c r="J282" s="66"/>
    </row>
    <row r="283" spans="1:10" s="69" customFormat="1" outlineLevel="1">
      <c r="A283" s="62" t="s">
        <v>63</v>
      </c>
      <c r="B283" s="62" t="s">
        <v>217</v>
      </c>
      <c r="C283" s="14" t="s">
        <v>299</v>
      </c>
      <c r="D283" s="12" t="s">
        <v>116</v>
      </c>
      <c r="E283" s="13" t="s">
        <v>294</v>
      </c>
      <c r="F283" s="54">
        <v>1</v>
      </c>
      <c r="G283" s="15">
        <v>33.03</v>
      </c>
      <c r="H283" s="18">
        <f t="shared" si="20"/>
        <v>33.03</v>
      </c>
      <c r="J283" s="66"/>
    </row>
    <row r="284" spans="1:10" s="69" customFormat="1" outlineLevel="1">
      <c r="A284" s="62" t="s">
        <v>64</v>
      </c>
      <c r="B284" s="62">
        <v>80512</v>
      </c>
      <c r="C284" s="14" t="s">
        <v>690</v>
      </c>
      <c r="D284" s="12" t="s">
        <v>117</v>
      </c>
      <c r="E284" s="13" t="s">
        <v>294</v>
      </c>
      <c r="F284" s="54">
        <f>11</f>
        <v>11</v>
      </c>
      <c r="G284" s="64">
        <v>14.07</v>
      </c>
      <c r="H284" s="18">
        <f t="shared" si="20"/>
        <v>154.77000000000001</v>
      </c>
      <c r="J284" s="66"/>
    </row>
    <row r="285" spans="1:10" s="69" customFormat="1" outlineLevel="1">
      <c r="A285" s="62" t="s">
        <v>65</v>
      </c>
      <c r="B285" s="62">
        <v>80845</v>
      </c>
      <c r="C285" s="14" t="s">
        <v>690</v>
      </c>
      <c r="D285" s="12" t="s">
        <v>506</v>
      </c>
      <c r="E285" s="13" t="s">
        <v>294</v>
      </c>
      <c r="F285" s="54">
        <v>1</v>
      </c>
      <c r="G285" s="64">
        <v>31.18</v>
      </c>
      <c r="H285" s="18">
        <f t="shared" si="20"/>
        <v>31.18</v>
      </c>
      <c r="J285" s="66"/>
    </row>
    <row r="286" spans="1:10" s="69" customFormat="1" outlineLevel="1">
      <c r="A286" s="62" t="s">
        <v>66</v>
      </c>
      <c r="B286" s="62">
        <v>70635</v>
      </c>
      <c r="C286" s="14" t="s">
        <v>690</v>
      </c>
      <c r="D286" s="12" t="s">
        <v>118</v>
      </c>
      <c r="E286" s="13" t="s">
        <v>300</v>
      </c>
      <c r="F286" s="54">
        <f>1*1.6</f>
        <v>1.6</v>
      </c>
      <c r="G286" s="64">
        <v>77.430000000000007</v>
      </c>
      <c r="H286" s="18">
        <f t="shared" si="20"/>
        <v>123.88800000000002</v>
      </c>
      <c r="J286" s="66"/>
    </row>
    <row r="287" spans="1:10" s="69" customFormat="1" ht="25.5" outlineLevel="1">
      <c r="A287" s="62" t="s">
        <v>67</v>
      </c>
      <c r="B287" s="62" t="s">
        <v>7</v>
      </c>
      <c r="C287" s="14"/>
      <c r="D287" s="36" t="s">
        <v>272</v>
      </c>
      <c r="E287" s="13" t="s">
        <v>294</v>
      </c>
      <c r="F287" s="54">
        <v>2</v>
      </c>
      <c r="G287" s="64">
        <v>875.56</v>
      </c>
      <c r="H287" s="18">
        <f t="shared" si="20"/>
        <v>1751.12</v>
      </c>
      <c r="J287" s="66"/>
    </row>
    <row r="288" spans="1:10" outlineLevel="1">
      <c r="A288" s="9" t="s">
        <v>68</v>
      </c>
      <c r="B288" s="9"/>
      <c r="C288" s="9"/>
      <c r="D288" s="11" t="s">
        <v>218</v>
      </c>
      <c r="E288" s="12"/>
      <c r="F288" s="15"/>
      <c r="G288" s="15"/>
      <c r="H288" s="18"/>
      <c r="J288" s="43"/>
    </row>
    <row r="289" spans="1:10" s="69" customFormat="1" outlineLevel="1">
      <c r="A289" s="62" t="s">
        <v>69</v>
      </c>
      <c r="B289" s="62">
        <v>82377</v>
      </c>
      <c r="C289" s="14" t="s">
        <v>690</v>
      </c>
      <c r="D289" s="12" t="s">
        <v>219</v>
      </c>
      <c r="E289" s="13" t="s">
        <v>326</v>
      </c>
      <c r="F289" s="54">
        <v>12</v>
      </c>
      <c r="G289" s="64">
        <v>44.11</v>
      </c>
      <c r="H289" s="18">
        <f t="shared" si="20"/>
        <v>529.31999999999994</v>
      </c>
      <c r="J289" s="66"/>
    </row>
    <row r="290" spans="1:10" s="69" customFormat="1" outlineLevel="1">
      <c r="A290" s="62" t="s">
        <v>70</v>
      </c>
      <c r="B290" s="62">
        <v>82376</v>
      </c>
      <c r="C290" s="14" t="s">
        <v>690</v>
      </c>
      <c r="D290" s="68" t="s">
        <v>220</v>
      </c>
      <c r="E290" s="63" t="s">
        <v>326</v>
      </c>
      <c r="F290" s="59">
        <v>18</v>
      </c>
      <c r="G290" s="64">
        <v>29.16</v>
      </c>
      <c r="H290" s="18">
        <f t="shared" si="20"/>
        <v>524.88</v>
      </c>
      <c r="J290" s="66"/>
    </row>
    <row r="291" spans="1:10" s="69" customFormat="1" outlineLevel="1">
      <c r="A291" s="62"/>
      <c r="B291" s="62"/>
      <c r="C291" s="62"/>
      <c r="D291" s="68"/>
      <c r="E291" s="63"/>
      <c r="F291" s="59"/>
      <c r="G291" s="64"/>
      <c r="H291" s="18"/>
      <c r="J291" s="66"/>
    </row>
    <row r="292" spans="1:10" s="69" customFormat="1" outlineLevel="1">
      <c r="A292" s="74" t="s">
        <v>71</v>
      </c>
      <c r="B292" s="74"/>
      <c r="C292" s="74"/>
      <c r="D292" s="75" t="s">
        <v>72</v>
      </c>
      <c r="E292" s="68"/>
      <c r="F292" s="64"/>
      <c r="G292" s="64"/>
      <c r="H292" s="18"/>
      <c r="J292" s="66"/>
    </row>
    <row r="293" spans="1:10" s="69" customFormat="1" outlineLevel="1">
      <c r="A293" s="74" t="s">
        <v>73</v>
      </c>
      <c r="B293" s="74"/>
      <c r="C293" s="74"/>
      <c r="D293" s="75" t="s">
        <v>221</v>
      </c>
      <c r="E293" s="68"/>
      <c r="F293" s="64"/>
      <c r="G293" s="64"/>
      <c r="H293" s="18"/>
      <c r="J293" s="66"/>
    </row>
    <row r="294" spans="1:10" s="69" customFormat="1" outlineLevel="1">
      <c r="A294" s="62" t="s">
        <v>222</v>
      </c>
      <c r="B294" s="62" t="s">
        <v>603</v>
      </c>
      <c r="C294" s="62" t="s">
        <v>299</v>
      </c>
      <c r="D294" s="60" t="s">
        <v>604</v>
      </c>
      <c r="E294" s="63" t="s">
        <v>326</v>
      </c>
      <c r="F294" s="76">
        <v>84</v>
      </c>
      <c r="G294" s="64">
        <v>48.69</v>
      </c>
      <c r="H294" s="18">
        <f t="shared" ref="H294:H307" si="21">F294*G294</f>
        <v>4089.96</v>
      </c>
      <c r="J294" s="66"/>
    </row>
    <row r="295" spans="1:10" s="69" customFormat="1" ht="25.5" outlineLevel="1">
      <c r="A295" s="62" t="s">
        <v>225</v>
      </c>
      <c r="B295" s="62" t="s">
        <v>223</v>
      </c>
      <c r="C295" s="62" t="s">
        <v>299</v>
      </c>
      <c r="D295" s="60" t="s">
        <v>224</v>
      </c>
      <c r="E295" s="63" t="s">
        <v>326</v>
      </c>
      <c r="F295" s="76">
        <v>234</v>
      </c>
      <c r="G295" s="64">
        <v>30.27</v>
      </c>
      <c r="H295" s="18">
        <f t="shared" si="21"/>
        <v>7083.18</v>
      </c>
      <c r="J295" s="66"/>
    </row>
    <row r="296" spans="1:10" s="69" customFormat="1" ht="25.5" outlineLevel="1">
      <c r="A296" s="62" t="s">
        <v>227</v>
      </c>
      <c r="B296" s="62" t="s">
        <v>76</v>
      </c>
      <c r="C296" s="62" t="s">
        <v>299</v>
      </c>
      <c r="D296" s="60" t="s">
        <v>226</v>
      </c>
      <c r="E296" s="13" t="s">
        <v>326</v>
      </c>
      <c r="F296" s="83">
        <v>60</v>
      </c>
      <c r="G296" s="15">
        <v>58.4</v>
      </c>
      <c r="H296" s="18">
        <f t="shared" si="21"/>
        <v>3504</v>
      </c>
      <c r="J296" s="66"/>
    </row>
    <row r="297" spans="1:10" s="69" customFormat="1" ht="25.5" outlineLevel="1">
      <c r="A297" s="62" t="s">
        <v>588</v>
      </c>
      <c r="B297" s="62">
        <v>83707</v>
      </c>
      <c r="C297" s="62" t="s">
        <v>299</v>
      </c>
      <c r="D297" s="60" t="s">
        <v>228</v>
      </c>
      <c r="E297" s="13" t="s">
        <v>326</v>
      </c>
      <c r="F297" s="83">
        <v>48</v>
      </c>
      <c r="G297" s="15">
        <v>57.2</v>
      </c>
      <c r="H297" s="18">
        <f t="shared" si="21"/>
        <v>2745.6000000000004</v>
      </c>
      <c r="J297" s="66"/>
    </row>
    <row r="298" spans="1:10" s="69" customFormat="1" outlineLevel="1">
      <c r="A298" s="74" t="s">
        <v>75</v>
      </c>
      <c r="B298" s="74"/>
      <c r="C298" s="74"/>
      <c r="D298" s="75" t="s">
        <v>77</v>
      </c>
      <c r="E298" s="12"/>
      <c r="F298" s="15"/>
      <c r="G298" s="15"/>
      <c r="H298" s="18"/>
      <c r="J298" s="66"/>
    </row>
    <row r="299" spans="1:10" s="69" customFormat="1" outlineLevel="1">
      <c r="A299" s="62" t="s">
        <v>229</v>
      </c>
      <c r="B299" s="62">
        <v>7752</v>
      </c>
      <c r="C299" s="62" t="s">
        <v>365</v>
      </c>
      <c r="D299" s="73" t="s">
        <v>78</v>
      </c>
      <c r="E299" s="13" t="s">
        <v>294</v>
      </c>
      <c r="F299" s="15">
        <v>20</v>
      </c>
      <c r="G299" s="64">
        <v>25</v>
      </c>
      <c r="H299" s="18">
        <f t="shared" si="21"/>
        <v>500</v>
      </c>
      <c r="J299" s="66"/>
    </row>
    <row r="300" spans="1:10" s="69" customFormat="1" outlineLevel="1">
      <c r="A300" s="62" t="s">
        <v>230</v>
      </c>
      <c r="B300" s="62" t="s">
        <v>231</v>
      </c>
      <c r="C300" s="62" t="s">
        <v>299</v>
      </c>
      <c r="D300" s="73" t="s">
        <v>79</v>
      </c>
      <c r="E300" s="19" t="s">
        <v>294</v>
      </c>
      <c r="F300" s="37">
        <v>6</v>
      </c>
      <c r="G300" s="15">
        <v>89.06</v>
      </c>
      <c r="H300" s="18">
        <f t="shared" si="21"/>
        <v>534.36</v>
      </c>
      <c r="J300" s="66"/>
    </row>
    <row r="301" spans="1:10" s="69" customFormat="1" outlineLevel="1">
      <c r="A301" s="62" t="s">
        <v>232</v>
      </c>
      <c r="B301" s="62">
        <v>6171</v>
      </c>
      <c r="C301" s="62" t="s">
        <v>299</v>
      </c>
      <c r="D301" s="73" t="s">
        <v>80</v>
      </c>
      <c r="E301" s="19" t="s">
        <v>294</v>
      </c>
      <c r="F301" s="37">
        <v>6</v>
      </c>
      <c r="G301" s="15">
        <v>19.850000000000001</v>
      </c>
      <c r="H301" s="18">
        <f t="shared" si="21"/>
        <v>119.10000000000001</v>
      </c>
      <c r="J301" s="66"/>
    </row>
    <row r="302" spans="1:10" s="69" customFormat="1" outlineLevel="1">
      <c r="A302" s="62" t="s">
        <v>233</v>
      </c>
      <c r="B302" s="62">
        <v>83447</v>
      </c>
      <c r="C302" s="62" t="s">
        <v>299</v>
      </c>
      <c r="D302" s="73" t="s">
        <v>81</v>
      </c>
      <c r="E302" s="13" t="s">
        <v>294</v>
      </c>
      <c r="F302" s="15">
        <v>4</v>
      </c>
      <c r="G302" s="64">
        <v>90.44</v>
      </c>
      <c r="H302" s="18">
        <f t="shared" si="21"/>
        <v>361.76</v>
      </c>
      <c r="J302" s="66"/>
    </row>
    <row r="303" spans="1:10" s="69" customFormat="1" outlineLevel="1">
      <c r="A303" s="62" t="s">
        <v>234</v>
      </c>
      <c r="B303" s="62">
        <v>83622</v>
      </c>
      <c r="C303" s="62" t="s">
        <v>299</v>
      </c>
      <c r="D303" s="73" t="s">
        <v>235</v>
      </c>
      <c r="E303" s="13" t="s">
        <v>294</v>
      </c>
      <c r="F303" s="15">
        <v>4</v>
      </c>
      <c r="G303" s="64">
        <f>147.67*0.4</f>
        <v>59.067999999999998</v>
      </c>
      <c r="H303" s="18">
        <f t="shared" si="21"/>
        <v>236.27199999999999</v>
      </c>
      <c r="J303" s="66"/>
    </row>
    <row r="304" spans="1:10" s="69" customFormat="1" outlineLevel="1">
      <c r="A304" s="62" t="s">
        <v>236</v>
      </c>
      <c r="B304" s="62">
        <v>72285</v>
      </c>
      <c r="C304" s="62" t="s">
        <v>299</v>
      </c>
      <c r="D304" s="73" t="s">
        <v>82</v>
      </c>
      <c r="E304" s="13" t="s">
        <v>294</v>
      </c>
      <c r="F304" s="15">
        <v>1</v>
      </c>
      <c r="G304" s="15">
        <v>53.86</v>
      </c>
      <c r="H304" s="18">
        <f t="shared" si="21"/>
        <v>53.86</v>
      </c>
      <c r="J304" s="66"/>
    </row>
    <row r="305" spans="1:10" s="69" customFormat="1" outlineLevel="1">
      <c r="A305" s="62" t="s">
        <v>237</v>
      </c>
      <c r="B305" s="62">
        <v>72289</v>
      </c>
      <c r="C305" s="62" t="s">
        <v>299</v>
      </c>
      <c r="D305" s="73" t="s">
        <v>238</v>
      </c>
      <c r="E305" s="13" t="s">
        <v>294</v>
      </c>
      <c r="F305" s="15">
        <v>2</v>
      </c>
      <c r="G305" s="15">
        <v>213.16</v>
      </c>
      <c r="H305" s="18">
        <f t="shared" si="21"/>
        <v>426.32</v>
      </c>
      <c r="J305" s="66"/>
    </row>
    <row r="306" spans="1:10" s="69" customFormat="1" outlineLevel="1">
      <c r="A306" s="62" t="s">
        <v>239</v>
      </c>
      <c r="B306" s="62">
        <v>6171</v>
      </c>
      <c r="C306" s="62" t="s">
        <v>299</v>
      </c>
      <c r="D306" s="73" t="s">
        <v>83</v>
      </c>
      <c r="E306" s="13" t="s">
        <v>294</v>
      </c>
      <c r="F306" s="15">
        <v>2</v>
      </c>
      <c r="G306" s="15">
        <v>19.850000000000001</v>
      </c>
      <c r="H306" s="18">
        <f t="shared" si="21"/>
        <v>39.700000000000003</v>
      </c>
      <c r="J306" s="66"/>
    </row>
    <row r="307" spans="1:10" s="69" customFormat="1" outlineLevel="1">
      <c r="A307" s="62" t="s">
        <v>240</v>
      </c>
      <c r="B307" s="62" t="s">
        <v>7</v>
      </c>
      <c r="C307" s="62" t="s">
        <v>8</v>
      </c>
      <c r="D307" s="73" t="s">
        <v>241</v>
      </c>
      <c r="E307" s="85" t="s">
        <v>326</v>
      </c>
      <c r="F307" s="15">
        <v>12</v>
      </c>
      <c r="G307" s="64">
        <v>241.4</v>
      </c>
      <c r="H307" s="18">
        <f t="shared" si="21"/>
        <v>2896.8</v>
      </c>
      <c r="J307" s="66"/>
    </row>
    <row r="308" spans="1:10" ht="12.75" customHeight="1" outlineLevel="1">
      <c r="A308" s="22" t="s">
        <v>749</v>
      </c>
      <c r="B308" s="22"/>
      <c r="C308" s="22"/>
      <c r="D308" s="23"/>
      <c r="E308" s="23"/>
      <c r="F308" s="24"/>
      <c r="G308" s="24"/>
      <c r="H308" s="25">
        <f>SUM(H267:H307)</f>
        <v>84369.790000000023</v>
      </c>
      <c r="J308" s="43"/>
    </row>
    <row r="309" spans="1:10">
      <c r="A309" s="14"/>
      <c r="B309" s="14"/>
      <c r="C309" s="14"/>
      <c r="D309" s="21"/>
      <c r="E309" s="13"/>
      <c r="F309" s="54"/>
      <c r="G309" s="15"/>
      <c r="H309" s="18"/>
      <c r="J309" s="43"/>
    </row>
    <row r="310" spans="1:10">
      <c r="A310" s="29">
        <v>15</v>
      </c>
      <c r="B310" s="29"/>
      <c r="C310" s="29"/>
      <c r="D310" s="30" t="s">
        <v>242</v>
      </c>
      <c r="E310" s="30"/>
      <c r="F310" s="31"/>
      <c r="G310" s="31"/>
      <c r="H310" s="32">
        <f>H326</f>
        <v>19582.609999999997</v>
      </c>
      <c r="J310" s="137"/>
    </row>
    <row r="311" spans="1:10" s="69" customFormat="1" outlineLevel="1">
      <c r="A311" s="62" t="s">
        <v>243</v>
      </c>
      <c r="B311" s="62">
        <v>40777</v>
      </c>
      <c r="C311" s="62" t="s">
        <v>299</v>
      </c>
      <c r="D311" s="60" t="s">
        <v>249</v>
      </c>
      <c r="E311" s="63" t="s">
        <v>294</v>
      </c>
      <c r="F311" s="59">
        <v>6</v>
      </c>
      <c r="G311" s="64">
        <v>27.08</v>
      </c>
      <c r="H311" s="18">
        <f t="shared" ref="H311:H325" si="22">F311*G311</f>
        <v>162.47999999999999</v>
      </c>
      <c r="J311" s="66"/>
    </row>
    <row r="312" spans="1:10" s="69" customFormat="1" outlineLevel="1">
      <c r="A312" s="62" t="s">
        <v>244</v>
      </c>
      <c r="B312" s="62">
        <v>72291</v>
      </c>
      <c r="C312" s="62" t="s">
        <v>299</v>
      </c>
      <c r="D312" s="60" t="s">
        <v>251</v>
      </c>
      <c r="E312" s="63" t="s">
        <v>294</v>
      </c>
      <c r="F312" s="59">
        <v>9</v>
      </c>
      <c r="G312" s="64">
        <v>36.08</v>
      </c>
      <c r="H312" s="18">
        <f t="shared" si="22"/>
        <v>324.71999999999997</v>
      </c>
      <c r="J312" s="66"/>
    </row>
    <row r="313" spans="1:10" s="69" customFormat="1" outlineLevel="1">
      <c r="A313" s="62" t="s">
        <v>245</v>
      </c>
      <c r="B313" s="62">
        <v>72685</v>
      </c>
      <c r="C313" s="62" t="s">
        <v>299</v>
      </c>
      <c r="D313" s="60" t="s">
        <v>254</v>
      </c>
      <c r="E313" s="63" t="s">
        <v>294</v>
      </c>
      <c r="F313" s="54">
        <v>4</v>
      </c>
      <c r="G313" s="15">
        <v>15.14</v>
      </c>
      <c r="H313" s="18">
        <f t="shared" si="22"/>
        <v>60.56</v>
      </c>
      <c r="J313" s="66"/>
    </row>
    <row r="314" spans="1:10" s="69" customFormat="1" outlineLevel="1">
      <c r="A314" s="62" t="s">
        <v>246</v>
      </c>
      <c r="B314" s="62">
        <v>81885</v>
      </c>
      <c r="C314" s="62" t="s">
        <v>690</v>
      </c>
      <c r="D314" s="60" t="s">
        <v>257</v>
      </c>
      <c r="E314" s="63" t="s">
        <v>294</v>
      </c>
      <c r="F314" s="54">
        <v>4</v>
      </c>
      <c r="G314" s="64">
        <v>8.91</v>
      </c>
      <c r="H314" s="18">
        <f t="shared" si="22"/>
        <v>35.64</v>
      </c>
      <c r="J314" s="66"/>
    </row>
    <row r="315" spans="1:10" s="69" customFormat="1" outlineLevel="1">
      <c r="A315" s="62" t="s">
        <v>247</v>
      </c>
      <c r="B315" s="62">
        <v>81885</v>
      </c>
      <c r="C315" s="62" t="s">
        <v>690</v>
      </c>
      <c r="D315" s="60" t="s">
        <v>259</v>
      </c>
      <c r="E315" s="63" t="s">
        <v>294</v>
      </c>
      <c r="F315" s="54">
        <v>6</v>
      </c>
      <c r="G315" s="64">
        <v>8.91</v>
      </c>
      <c r="H315" s="18">
        <f t="shared" si="22"/>
        <v>53.46</v>
      </c>
      <c r="J315" s="66"/>
    </row>
    <row r="316" spans="1:10" s="69" customFormat="1" outlineLevel="1">
      <c r="A316" s="62" t="s">
        <v>248</v>
      </c>
      <c r="B316" s="62" t="s">
        <v>74</v>
      </c>
      <c r="C316" s="62" t="s">
        <v>299</v>
      </c>
      <c r="D316" s="60" t="s">
        <v>261</v>
      </c>
      <c r="E316" s="63" t="s">
        <v>326</v>
      </c>
      <c r="F316" s="54">
        <v>192</v>
      </c>
      <c r="G316" s="15">
        <v>29.7</v>
      </c>
      <c r="H316" s="18">
        <f t="shared" si="22"/>
        <v>5702.4</v>
      </c>
      <c r="J316" s="66"/>
    </row>
    <row r="317" spans="1:10" s="69" customFormat="1" outlineLevel="1">
      <c r="A317" s="62" t="s">
        <v>250</v>
      </c>
      <c r="B317" s="62" t="s">
        <v>91</v>
      </c>
      <c r="C317" s="62" t="s">
        <v>299</v>
      </c>
      <c r="D317" s="60" t="s">
        <v>263</v>
      </c>
      <c r="E317" s="63" t="s">
        <v>326</v>
      </c>
      <c r="F317" s="54">
        <v>96</v>
      </c>
      <c r="G317" s="15">
        <v>14.78</v>
      </c>
      <c r="H317" s="18">
        <f t="shared" si="22"/>
        <v>1418.8799999999999</v>
      </c>
      <c r="J317" s="66"/>
    </row>
    <row r="318" spans="1:10" s="69" customFormat="1" outlineLevel="1">
      <c r="A318" s="62" t="s">
        <v>252</v>
      </c>
      <c r="B318" s="62" t="s">
        <v>89</v>
      </c>
      <c r="C318" s="62" t="s">
        <v>299</v>
      </c>
      <c r="D318" s="60" t="s">
        <v>265</v>
      </c>
      <c r="E318" s="63" t="s">
        <v>326</v>
      </c>
      <c r="F318" s="54">
        <v>102</v>
      </c>
      <c r="G318" s="15">
        <v>20.329999999999998</v>
      </c>
      <c r="H318" s="18">
        <f t="shared" si="22"/>
        <v>2073.66</v>
      </c>
      <c r="J318" s="66"/>
    </row>
    <row r="319" spans="1:10" s="69" customFormat="1" outlineLevel="1">
      <c r="A319" s="62" t="s">
        <v>253</v>
      </c>
      <c r="B319" s="62" t="s">
        <v>87</v>
      </c>
      <c r="C319" s="62" t="s">
        <v>299</v>
      </c>
      <c r="D319" s="60" t="s">
        <v>266</v>
      </c>
      <c r="E319" s="63" t="s">
        <v>326</v>
      </c>
      <c r="F319" s="54">
        <v>48</v>
      </c>
      <c r="G319" s="15">
        <v>27.64</v>
      </c>
      <c r="H319" s="18">
        <f t="shared" si="22"/>
        <v>1326.72</v>
      </c>
      <c r="J319" s="66"/>
    </row>
    <row r="320" spans="1:10" s="69" customFormat="1" outlineLevel="1">
      <c r="A320" s="62" t="s">
        <v>255</v>
      </c>
      <c r="B320" s="14" t="s">
        <v>76</v>
      </c>
      <c r="C320" s="14" t="s">
        <v>299</v>
      </c>
      <c r="D320" s="36" t="s">
        <v>267</v>
      </c>
      <c r="E320" s="63" t="s">
        <v>326</v>
      </c>
      <c r="F320" s="54">
        <v>12</v>
      </c>
      <c r="G320" s="15">
        <v>58.4</v>
      </c>
      <c r="H320" s="18">
        <f t="shared" si="22"/>
        <v>700.8</v>
      </c>
      <c r="J320" s="66"/>
    </row>
    <row r="321" spans="1:10" s="69" customFormat="1" outlineLevel="1">
      <c r="A321" s="62" t="s">
        <v>256</v>
      </c>
      <c r="B321" s="14">
        <v>72291</v>
      </c>
      <c r="C321" s="14" t="s">
        <v>299</v>
      </c>
      <c r="D321" s="36" t="s">
        <v>507</v>
      </c>
      <c r="E321" s="63"/>
      <c r="F321" s="54">
        <v>1</v>
      </c>
      <c r="G321" s="15">
        <v>36.08</v>
      </c>
      <c r="H321" s="18">
        <f t="shared" si="22"/>
        <v>36.08</v>
      </c>
      <c r="J321" s="66"/>
    </row>
    <row r="322" spans="1:10" s="69" customFormat="1" outlineLevel="1">
      <c r="A322" s="62" t="s">
        <v>258</v>
      </c>
      <c r="B322" s="14" t="s">
        <v>592</v>
      </c>
      <c r="C322" s="14" t="s">
        <v>299</v>
      </c>
      <c r="D322" s="36" t="s">
        <v>508</v>
      </c>
      <c r="E322" s="63" t="s">
        <v>294</v>
      </c>
      <c r="F322" s="59">
        <v>1</v>
      </c>
      <c r="G322" s="64">
        <v>59.39</v>
      </c>
      <c r="H322" s="18">
        <f t="shared" si="22"/>
        <v>59.39</v>
      </c>
      <c r="J322" s="66"/>
    </row>
    <row r="323" spans="1:10" s="69" customFormat="1" ht="25.5" outlineLevel="1">
      <c r="A323" s="62" t="s">
        <v>260</v>
      </c>
      <c r="B323" s="14">
        <v>72290</v>
      </c>
      <c r="C323" s="14" t="s">
        <v>299</v>
      </c>
      <c r="D323" s="36" t="s">
        <v>268</v>
      </c>
      <c r="E323" s="63" t="s">
        <v>294</v>
      </c>
      <c r="F323" s="59">
        <v>7</v>
      </c>
      <c r="G323" s="64">
        <v>242.96</v>
      </c>
      <c r="H323" s="18">
        <f t="shared" si="22"/>
        <v>1700.72</v>
      </c>
      <c r="J323" s="66"/>
    </row>
    <row r="324" spans="1:10" s="69" customFormat="1" ht="25.5" outlineLevel="1">
      <c r="A324" s="62" t="s">
        <v>262</v>
      </c>
      <c r="B324" s="14" t="s">
        <v>270</v>
      </c>
      <c r="C324" s="14" t="s">
        <v>299</v>
      </c>
      <c r="D324" s="36" t="s">
        <v>269</v>
      </c>
      <c r="E324" s="63" t="s">
        <v>294</v>
      </c>
      <c r="F324" s="59">
        <v>2</v>
      </c>
      <c r="G324" s="64">
        <v>987.85</v>
      </c>
      <c r="H324" s="18">
        <f t="shared" si="22"/>
        <v>1975.7</v>
      </c>
      <c r="J324" s="66"/>
    </row>
    <row r="325" spans="1:10" s="69" customFormat="1" ht="25.5" outlineLevel="1">
      <c r="A325" s="62" t="s">
        <v>264</v>
      </c>
      <c r="B325" s="14" t="s">
        <v>270</v>
      </c>
      <c r="C325" s="14" t="s">
        <v>299</v>
      </c>
      <c r="D325" s="36" t="s">
        <v>271</v>
      </c>
      <c r="E325" s="63" t="s">
        <v>294</v>
      </c>
      <c r="F325" s="59">
        <v>4</v>
      </c>
      <c r="G325" s="64">
        <v>987.85</v>
      </c>
      <c r="H325" s="18">
        <f t="shared" si="22"/>
        <v>3951.4</v>
      </c>
      <c r="J325" s="66"/>
    </row>
    <row r="326" spans="1:10" ht="12.75" customHeight="1" outlineLevel="1">
      <c r="A326" s="22" t="s">
        <v>749</v>
      </c>
      <c r="B326" s="22"/>
      <c r="C326" s="22"/>
      <c r="D326" s="23"/>
      <c r="E326" s="23"/>
      <c r="F326" s="24"/>
      <c r="G326" s="24"/>
      <c r="H326" s="16">
        <f>SUM(H311:H325)</f>
        <v>19582.609999999997</v>
      </c>
      <c r="J326" s="43"/>
    </row>
    <row r="327" spans="1:10">
      <c r="A327" s="22"/>
      <c r="B327" s="22"/>
      <c r="C327" s="22"/>
      <c r="D327" s="38"/>
      <c r="E327" s="38"/>
      <c r="F327" s="39"/>
      <c r="G327" s="39"/>
      <c r="H327" s="25"/>
      <c r="J327" s="43"/>
    </row>
    <row r="328" spans="1:10">
      <c r="A328" s="29">
        <v>16</v>
      </c>
      <c r="B328" s="29"/>
      <c r="C328" s="29"/>
      <c r="D328" s="30" t="s">
        <v>112</v>
      </c>
      <c r="E328" s="30"/>
      <c r="F328" s="31"/>
      <c r="G328" s="31"/>
      <c r="H328" s="32">
        <f>H354</f>
        <v>18445.71</v>
      </c>
      <c r="J328" s="137"/>
    </row>
    <row r="329" spans="1:10" ht="38.25" outlineLevel="1">
      <c r="A329" s="14" t="s">
        <v>84</v>
      </c>
      <c r="B329" s="14">
        <v>6021</v>
      </c>
      <c r="C329" s="14" t="s">
        <v>299</v>
      </c>
      <c r="D329" s="36" t="s">
        <v>457</v>
      </c>
      <c r="E329" s="13" t="s">
        <v>294</v>
      </c>
      <c r="F329" s="54">
        <v>2</v>
      </c>
      <c r="G329" s="15">
        <v>136.69</v>
      </c>
      <c r="H329" s="18">
        <f t="shared" ref="H329:H353" si="23">F329*G329</f>
        <v>273.38</v>
      </c>
      <c r="J329" s="43"/>
    </row>
    <row r="330" spans="1:10" ht="25.5" outlineLevel="1">
      <c r="A330" s="14" t="s">
        <v>85</v>
      </c>
      <c r="B330" s="14" t="s">
        <v>113</v>
      </c>
      <c r="C330" s="14" t="s">
        <v>299</v>
      </c>
      <c r="D330" s="36" t="s">
        <v>458</v>
      </c>
      <c r="E330" s="13" t="s">
        <v>294</v>
      </c>
      <c r="F330" s="54">
        <v>3</v>
      </c>
      <c r="G330" s="15">
        <v>272.75</v>
      </c>
      <c r="H330" s="18">
        <f t="shared" si="23"/>
        <v>818.25</v>
      </c>
      <c r="J330" s="43"/>
    </row>
    <row r="331" spans="1:10" ht="38.25" outlineLevel="1">
      <c r="A331" s="14" t="s">
        <v>86</v>
      </c>
      <c r="B331" s="14">
        <v>72739</v>
      </c>
      <c r="C331" s="14" t="s">
        <v>299</v>
      </c>
      <c r="D331" s="36" t="s">
        <v>729</v>
      </c>
      <c r="E331" s="13" t="s">
        <v>294</v>
      </c>
      <c r="F331" s="54">
        <v>9</v>
      </c>
      <c r="G331" s="64">
        <v>189.26</v>
      </c>
      <c r="H331" s="18">
        <f t="shared" si="23"/>
        <v>1703.34</v>
      </c>
      <c r="J331" s="43"/>
    </row>
    <row r="332" spans="1:10" ht="25.5" outlineLevel="1">
      <c r="A332" s="14" t="s">
        <v>88</v>
      </c>
      <c r="B332" s="14" t="s">
        <v>274</v>
      </c>
      <c r="C332" s="14" t="s">
        <v>299</v>
      </c>
      <c r="D332" s="36" t="s">
        <v>461</v>
      </c>
      <c r="E332" s="13" t="s">
        <v>294</v>
      </c>
      <c r="F332" s="54">
        <v>11</v>
      </c>
      <c r="G332" s="15">
        <v>195.46</v>
      </c>
      <c r="H332" s="18">
        <f t="shared" si="23"/>
        <v>2150.06</v>
      </c>
      <c r="J332" s="43"/>
    </row>
    <row r="333" spans="1:10" ht="25.5" outlineLevel="1">
      <c r="A333" s="14" t="s">
        <v>90</v>
      </c>
      <c r="B333" s="86" t="s">
        <v>7</v>
      </c>
      <c r="C333" s="14" t="s">
        <v>8</v>
      </c>
      <c r="D333" s="36" t="s">
        <v>460</v>
      </c>
      <c r="E333" s="13" t="s">
        <v>294</v>
      </c>
      <c r="F333" s="54">
        <v>2</v>
      </c>
      <c r="G333" s="64">
        <v>23</v>
      </c>
      <c r="H333" s="18">
        <f t="shared" si="23"/>
        <v>46</v>
      </c>
      <c r="J333" s="43"/>
    </row>
    <row r="334" spans="1:10" outlineLevel="1">
      <c r="A334" s="14" t="s">
        <v>92</v>
      </c>
      <c r="B334" s="14" t="s">
        <v>114</v>
      </c>
      <c r="C334" s="14" t="s">
        <v>299</v>
      </c>
      <c r="D334" s="36" t="s">
        <v>462</v>
      </c>
      <c r="E334" s="13" t="s">
        <v>294</v>
      </c>
      <c r="F334" s="54">
        <v>3</v>
      </c>
      <c r="G334" s="15">
        <v>19.23</v>
      </c>
      <c r="H334" s="18">
        <f t="shared" si="23"/>
        <v>57.69</v>
      </c>
      <c r="J334" s="43"/>
    </row>
    <row r="335" spans="1:10" outlineLevel="1">
      <c r="A335" s="14" t="s">
        <v>93</v>
      </c>
      <c r="B335" s="78" t="s">
        <v>7</v>
      </c>
      <c r="C335" s="62" t="s">
        <v>8</v>
      </c>
      <c r="D335" s="36" t="s">
        <v>463</v>
      </c>
      <c r="E335" s="13" t="s">
        <v>294</v>
      </c>
      <c r="F335" s="54">
        <v>14</v>
      </c>
      <c r="G335" s="15">
        <v>113</v>
      </c>
      <c r="H335" s="18">
        <f t="shared" si="23"/>
        <v>1582</v>
      </c>
      <c r="J335" s="43"/>
    </row>
    <row r="336" spans="1:10" ht="25.5" outlineLevel="1">
      <c r="A336" s="62" t="s">
        <v>94</v>
      </c>
      <c r="B336" s="78" t="s">
        <v>7</v>
      </c>
      <c r="C336" s="62" t="s">
        <v>8</v>
      </c>
      <c r="D336" s="60" t="s">
        <v>459</v>
      </c>
      <c r="E336" s="63" t="s">
        <v>278</v>
      </c>
      <c r="F336" s="59">
        <v>3</v>
      </c>
      <c r="G336" s="64">
        <v>237.66</v>
      </c>
      <c r="H336" s="65">
        <f t="shared" si="23"/>
        <v>712.98</v>
      </c>
      <c r="J336" s="43"/>
    </row>
    <row r="337" spans="1:10" ht="25.5" outlineLevel="1">
      <c r="A337" s="14" t="s">
        <v>95</v>
      </c>
      <c r="B337" s="14">
        <v>6009</v>
      </c>
      <c r="C337" s="14" t="s">
        <v>299</v>
      </c>
      <c r="D337" s="36" t="s">
        <v>466</v>
      </c>
      <c r="E337" s="13" t="s">
        <v>294</v>
      </c>
      <c r="F337" s="54">
        <v>4</v>
      </c>
      <c r="G337" s="15">
        <v>124.81</v>
      </c>
      <c r="H337" s="18">
        <f t="shared" si="23"/>
        <v>499.24</v>
      </c>
      <c r="J337" s="43"/>
    </row>
    <row r="338" spans="1:10" s="69" customFormat="1" ht="25.5" outlineLevel="1">
      <c r="A338" s="62" t="s">
        <v>96</v>
      </c>
      <c r="B338" s="78" t="s">
        <v>7</v>
      </c>
      <c r="C338" s="62" t="s">
        <v>8</v>
      </c>
      <c r="D338" s="60" t="s">
        <v>465</v>
      </c>
      <c r="E338" s="63" t="s">
        <v>294</v>
      </c>
      <c r="F338" s="59">
        <v>17</v>
      </c>
      <c r="G338" s="64">
        <v>163.6</v>
      </c>
      <c r="H338" s="65">
        <f t="shared" si="23"/>
        <v>2781.2</v>
      </c>
      <c r="J338" s="66"/>
    </row>
    <row r="339" spans="1:10" outlineLevel="1">
      <c r="A339" s="14" t="s">
        <v>97</v>
      </c>
      <c r="B339" s="14" t="s">
        <v>273</v>
      </c>
      <c r="C339" s="14" t="s">
        <v>299</v>
      </c>
      <c r="D339" s="36" t="s">
        <v>464</v>
      </c>
      <c r="E339" s="13" t="s">
        <v>294</v>
      </c>
      <c r="F339" s="54">
        <v>21</v>
      </c>
      <c r="G339" s="15">
        <v>41.2</v>
      </c>
      <c r="H339" s="18">
        <f t="shared" si="23"/>
        <v>865.2</v>
      </c>
      <c r="J339" s="43"/>
    </row>
    <row r="340" spans="1:10" outlineLevel="1">
      <c r="A340" s="14" t="s">
        <v>98</v>
      </c>
      <c r="B340" s="14" t="s">
        <v>119</v>
      </c>
      <c r="C340" s="14" t="s">
        <v>299</v>
      </c>
      <c r="D340" s="36" t="s">
        <v>469</v>
      </c>
      <c r="E340" s="13" t="s">
        <v>294</v>
      </c>
      <c r="F340" s="54">
        <v>20</v>
      </c>
      <c r="G340" s="15">
        <v>16.739999999999998</v>
      </c>
      <c r="H340" s="18">
        <f t="shared" si="23"/>
        <v>334.79999999999995</v>
      </c>
      <c r="J340" s="43"/>
    </row>
    <row r="341" spans="1:10" outlineLevel="1">
      <c r="A341" s="14" t="s">
        <v>99</v>
      </c>
      <c r="B341" s="14" t="s">
        <v>7</v>
      </c>
      <c r="C341" s="14" t="s">
        <v>8</v>
      </c>
      <c r="D341" s="36" t="s">
        <v>468</v>
      </c>
      <c r="E341" s="13" t="s">
        <v>294</v>
      </c>
      <c r="F341" s="54">
        <v>15</v>
      </c>
      <c r="G341" s="64">
        <v>27</v>
      </c>
      <c r="H341" s="18">
        <f t="shared" si="23"/>
        <v>405</v>
      </c>
      <c r="J341" s="43"/>
    </row>
    <row r="342" spans="1:10" outlineLevel="1">
      <c r="A342" s="14" t="s">
        <v>100</v>
      </c>
      <c r="B342" s="14">
        <v>230172</v>
      </c>
      <c r="C342" s="14" t="s">
        <v>690</v>
      </c>
      <c r="D342" s="20" t="s">
        <v>467</v>
      </c>
      <c r="E342" s="13" t="s">
        <v>294</v>
      </c>
      <c r="F342" s="54">
        <v>6</v>
      </c>
      <c r="G342" s="64">
        <v>77</v>
      </c>
      <c r="H342" s="18">
        <f t="shared" si="23"/>
        <v>462</v>
      </c>
      <c r="J342" s="43"/>
    </row>
    <row r="343" spans="1:10" outlineLevel="1">
      <c r="A343" s="14" t="s">
        <v>101</v>
      </c>
      <c r="B343" s="14" t="s">
        <v>7</v>
      </c>
      <c r="C343" s="14"/>
      <c r="D343" s="36" t="s">
        <v>716</v>
      </c>
      <c r="E343" s="13" t="s">
        <v>294</v>
      </c>
      <c r="F343" s="54">
        <v>2</v>
      </c>
      <c r="G343" s="64">
        <v>49.9</v>
      </c>
      <c r="H343" s="18">
        <f t="shared" si="23"/>
        <v>99.8</v>
      </c>
      <c r="J343" s="43"/>
    </row>
    <row r="344" spans="1:10" ht="25.5" outlineLevel="1">
      <c r="A344" s="14" t="s">
        <v>102</v>
      </c>
      <c r="B344" s="14" t="s">
        <v>7</v>
      </c>
      <c r="C344" s="62"/>
      <c r="D344" s="36" t="s">
        <v>471</v>
      </c>
      <c r="E344" s="13" t="s">
        <v>294</v>
      </c>
      <c r="F344" s="54">
        <v>2</v>
      </c>
      <c r="G344" s="64">
        <v>79.900000000000006</v>
      </c>
      <c r="H344" s="18">
        <f t="shared" si="23"/>
        <v>159.80000000000001</v>
      </c>
      <c r="J344" s="43"/>
    </row>
    <row r="345" spans="1:10" ht="25.5" outlineLevel="1">
      <c r="A345" s="14" t="s">
        <v>103</v>
      </c>
      <c r="B345" s="14" t="s">
        <v>7</v>
      </c>
      <c r="C345" s="14"/>
      <c r="D345" s="36" t="s">
        <v>470</v>
      </c>
      <c r="E345" s="13" t="s">
        <v>294</v>
      </c>
      <c r="F345" s="54">
        <v>8</v>
      </c>
      <c r="G345" s="64">
        <v>36.29</v>
      </c>
      <c r="H345" s="18">
        <f t="shared" si="23"/>
        <v>290.32</v>
      </c>
      <c r="J345" s="43"/>
    </row>
    <row r="346" spans="1:10" ht="25.5" outlineLevel="1">
      <c r="A346" s="14" t="s">
        <v>104</v>
      </c>
      <c r="B346" s="14" t="s">
        <v>275</v>
      </c>
      <c r="C346" s="14" t="s">
        <v>299</v>
      </c>
      <c r="D346" s="36" t="s">
        <v>473</v>
      </c>
      <c r="E346" s="13" t="s">
        <v>294</v>
      </c>
      <c r="F346" s="54">
        <v>9</v>
      </c>
      <c r="G346" s="15">
        <v>35.35</v>
      </c>
      <c r="H346" s="18">
        <f t="shared" si="23"/>
        <v>318.15000000000003</v>
      </c>
      <c r="J346" s="43"/>
    </row>
    <row r="347" spans="1:10" outlineLevel="1">
      <c r="A347" s="14" t="s">
        <v>105</v>
      </c>
      <c r="B347" s="14" t="s">
        <v>276</v>
      </c>
      <c r="C347" s="14" t="s">
        <v>299</v>
      </c>
      <c r="D347" s="36" t="s">
        <v>472</v>
      </c>
      <c r="E347" s="13" t="s">
        <v>294</v>
      </c>
      <c r="F347" s="54">
        <v>2</v>
      </c>
      <c r="G347" s="15">
        <v>211.46</v>
      </c>
      <c r="H347" s="18">
        <f t="shared" si="23"/>
        <v>422.92</v>
      </c>
      <c r="J347" s="43"/>
    </row>
    <row r="348" spans="1:10" ht="25.5" outlineLevel="1">
      <c r="A348" s="14" t="s">
        <v>106</v>
      </c>
      <c r="B348" s="14" t="s">
        <v>115</v>
      </c>
      <c r="C348" s="14" t="s">
        <v>299</v>
      </c>
      <c r="D348" s="36" t="s">
        <v>474</v>
      </c>
      <c r="E348" s="13" t="s">
        <v>294</v>
      </c>
      <c r="F348" s="54">
        <v>3</v>
      </c>
      <c r="G348" s="15">
        <v>56.83</v>
      </c>
      <c r="H348" s="18">
        <f t="shared" si="23"/>
        <v>170.49</v>
      </c>
      <c r="J348" s="43"/>
    </row>
    <row r="349" spans="1:10" ht="25.5" outlineLevel="1">
      <c r="A349" s="14" t="s">
        <v>107</v>
      </c>
      <c r="B349" s="14" t="s">
        <v>115</v>
      </c>
      <c r="C349" s="14" t="s">
        <v>299</v>
      </c>
      <c r="D349" s="36" t="s">
        <v>479</v>
      </c>
      <c r="E349" s="13" t="s">
        <v>294</v>
      </c>
      <c r="F349" s="54">
        <v>11</v>
      </c>
      <c r="G349" s="15">
        <v>56.83</v>
      </c>
      <c r="H349" s="18">
        <f t="shared" si="23"/>
        <v>625.13</v>
      </c>
      <c r="J349" s="43"/>
    </row>
    <row r="350" spans="1:10" ht="89.25" outlineLevel="1">
      <c r="A350" s="14" t="s">
        <v>108</v>
      </c>
      <c r="B350" s="17" t="s">
        <v>717</v>
      </c>
      <c r="C350" s="14"/>
      <c r="D350" s="36" t="s">
        <v>475</v>
      </c>
      <c r="E350" s="13" t="s">
        <v>294</v>
      </c>
      <c r="F350" s="54">
        <v>2</v>
      </c>
      <c r="G350" s="64">
        <v>323.2</v>
      </c>
      <c r="H350" s="18">
        <f t="shared" si="23"/>
        <v>646.4</v>
      </c>
      <c r="J350" s="43"/>
    </row>
    <row r="351" spans="1:10" ht="38.25" outlineLevel="1">
      <c r="A351" s="14" t="s">
        <v>109</v>
      </c>
      <c r="B351" s="14" t="s">
        <v>277</v>
      </c>
      <c r="C351" s="14" t="s">
        <v>299</v>
      </c>
      <c r="D351" s="36" t="s">
        <v>476</v>
      </c>
      <c r="E351" s="13" t="s">
        <v>278</v>
      </c>
      <c r="F351" s="54">
        <v>11</v>
      </c>
      <c r="G351" s="15">
        <v>177.92</v>
      </c>
      <c r="H351" s="18">
        <f t="shared" si="23"/>
        <v>1957.12</v>
      </c>
      <c r="J351" s="43"/>
    </row>
    <row r="352" spans="1:10" outlineLevel="1">
      <c r="A352" s="14" t="s">
        <v>480</v>
      </c>
      <c r="B352" s="14" t="s">
        <v>7</v>
      </c>
      <c r="C352" s="14"/>
      <c r="D352" s="36" t="s">
        <v>477</v>
      </c>
      <c r="E352" s="13" t="s">
        <v>294</v>
      </c>
      <c r="F352" s="54">
        <v>11</v>
      </c>
      <c r="G352" s="64">
        <v>89.95</v>
      </c>
      <c r="H352" s="18">
        <f t="shared" si="23"/>
        <v>989.45</v>
      </c>
      <c r="J352" s="43"/>
    </row>
    <row r="353" spans="1:10" outlineLevel="1">
      <c r="A353" s="14" t="s">
        <v>110</v>
      </c>
      <c r="B353" s="14" t="s">
        <v>7</v>
      </c>
      <c r="C353" s="14"/>
      <c r="D353" s="36" t="s">
        <v>478</v>
      </c>
      <c r="E353" s="13" t="s">
        <v>294</v>
      </c>
      <c r="F353" s="54">
        <v>1</v>
      </c>
      <c r="G353" s="64">
        <v>74.989999999999995</v>
      </c>
      <c r="H353" s="18">
        <f t="shared" si="23"/>
        <v>74.989999999999995</v>
      </c>
      <c r="J353" s="43"/>
    </row>
    <row r="354" spans="1:10" ht="12.75" customHeight="1" outlineLevel="1">
      <c r="A354" s="22" t="s">
        <v>749</v>
      </c>
      <c r="B354" s="22"/>
      <c r="C354" s="22"/>
      <c r="D354" s="23"/>
      <c r="E354" s="23"/>
      <c r="F354" s="24"/>
      <c r="G354" s="24"/>
      <c r="H354" s="25">
        <f>SUM(H329:H353)</f>
        <v>18445.71</v>
      </c>
      <c r="J354" s="43"/>
    </row>
    <row r="355" spans="1:10">
      <c r="A355" s="14"/>
      <c r="B355" s="14"/>
      <c r="C355" s="14"/>
      <c r="D355" s="21"/>
      <c r="E355" s="13"/>
      <c r="F355" s="54"/>
      <c r="G355" s="15"/>
      <c r="H355" s="12"/>
      <c r="J355" s="43"/>
    </row>
    <row r="356" spans="1:10">
      <c r="A356" s="29">
        <v>17</v>
      </c>
      <c r="B356" s="29"/>
      <c r="C356" s="29"/>
      <c r="D356" s="30" t="s">
        <v>279</v>
      </c>
      <c r="E356" s="30"/>
      <c r="F356" s="31"/>
      <c r="G356" s="31"/>
      <c r="H356" s="32">
        <f>H360</f>
        <v>12869.137192999999</v>
      </c>
      <c r="J356" s="137"/>
    </row>
    <row r="357" spans="1:10" outlineLevel="1">
      <c r="A357" s="14" t="s">
        <v>111</v>
      </c>
      <c r="B357" s="14" t="s">
        <v>280</v>
      </c>
      <c r="C357" s="14" t="s">
        <v>299</v>
      </c>
      <c r="D357" s="21" t="s">
        <v>281</v>
      </c>
      <c r="E357" s="13" t="s">
        <v>300</v>
      </c>
      <c r="F357" s="54">
        <f>(41.03*0.6+12.79*0.5+4.5*0.4)</f>
        <v>32.812999999999995</v>
      </c>
      <c r="G357" s="15">
        <v>222.97</v>
      </c>
      <c r="H357" s="18">
        <f t="shared" ref="H357:H359" si="24">F357*G357</f>
        <v>7316.3146099999985</v>
      </c>
      <c r="J357" s="43"/>
    </row>
    <row r="358" spans="1:10" outlineLevel="1">
      <c r="A358" s="14" t="s">
        <v>282</v>
      </c>
      <c r="B358" s="14" t="s">
        <v>280</v>
      </c>
      <c r="C358" s="14" t="s">
        <v>299</v>
      </c>
      <c r="D358" s="21" t="s">
        <v>283</v>
      </c>
      <c r="E358" s="13" t="s">
        <v>300</v>
      </c>
      <c r="F358" s="54">
        <f>(10.8*0.6+46.8*0.3+4.2*0.4)</f>
        <v>22.2</v>
      </c>
      <c r="G358" s="15">
        <v>222.97</v>
      </c>
      <c r="H358" s="18">
        <f t="shared" si="24"/>
        <v>4949.9340000000002</v>
      </c>
      <c r="J358" s="43"/>
    </row>
    <row r="359" spans="1:10" s="40" customFormat="1" outlineLevel="1">
      <c r="A359" s="14" t="s">
        <v>284</v>
      </c>
      <c r="B359" s="14" t="s">
        <v>280</v>
      </c>
      <c r="C359" s="14" t="s">
        <v>299</v>
      </c>
      <c r="D359" s="21" t="s">
        <v>481</v>
      </c>
      <c r="E359" s="13" t="s">
        <v>300</v>
      </c>
      <c r="F359" s="54">
        <f>(2*0.25*0.69+0.25*0.38)+(1.79*0.03+1.79*0.38)+(2.25*0.3+2.25*0.38)</f>
        <v>2.7039</v>
      </c>
      <c r="G359" s="15">
        <v>222.97</v>
      </c>
      <c r="H359" s="18">
        <f t="shared" si="24"/>
        <v>602.88858300000004</v>
      </c>
      <c r="J359" s="43"/>
    </row>
    <row r="360" spans="1:10" ht="12.75" customHeight="1" outlineLevel="1">
      <c r="A360" s="22" t="s">
        <v>749</v>
      </c>
      <c r="B360" s="22"/>
      <c r="C360" s="22"/>
      <c r="D360" s="23"/>
      <c r="E360" s="23"/>
      <c r="F360" s="24"/>
      <c r="G360" s="24"/>
      <c r="H360" s="16">
        <f>SUM(H357:H359)</f>
        <v>12869.137192999999</v>
      </c>
      <c r="J360" s="43"/>
    </row>
    <row r="361" spans="1:10">
      <c r="A361" s="14"/>
      <c r="B361" s="14"/>
      <c r="C361" s="14"/>
      <c r="D361" s="21"/>
      <c r="E361" s="13"/>
      <c r="F361" s="54"/>
      <c r="G361" s="15"/>
      <c r="H361" s="12"/>
      <c r="J361" s="43"/>
    </row>
    <row r="362" spans="1:10">
      <c r="A362" s="97">
        <v>18</v>
      </c>
      <c r="B362" s="29"/>
      <c r="C362" s="29"/>
      <c r="D362" s="30" t="s">
        <v>589</v>
      </c>
      <c r="E362" s="30"/>
      <c r="F362" s="31"/>
      <c r="G362" s="31"/>
      <c r="H362" s="32">
        <f>H371</f>
        <v>3013.14</v>
      </c>
      <c r="J362" s="137"/>
    </row>
    <row r="363" spans="1:10" s="69" customFormat="1" outlineLevel="1">
      <c r="A363" s="62" t="s">
        <v>697</v>
      </c>
      <c r="B363" s="62">
        <v>91007</v>
      </c>
      <c r="C363" s="62" t="s">
        <v>690</v>
      </c>
      <c r="D363" s="61" t="s">
        <v>695</v>
      </c>
      <c r="E363" s="63" t="s">
        <v>294</v>
      </c>
      <c r="F363" s="64">
        <v>1</v>
      </c>
      <c r="G363" s="15">
        <v>1336.6</v>
      </c>
      <c r="H363" s="18">
        <f t="shared" ref="H363:H370" si="25">F363*G363</f>
        <v>1336.6</v>
      </c>
      <c r="J363" s="66"/>
    </row>
    <row r="364" spans="1:10" s="69" customFormat="1" outlineLevel="1">
      <c r="A364" s="62" t="s">
        <v>698</v>
      </c>
      <c r="B364" s="62" t="s">
        <v>605</v>
      </c>
      <c r="C364" s="62" t="s">
        <v>299</v>
      </c>
      <c r="D364" s="61" t="s">
        <v>509</v>
      </c>
      <c r="E364" s="63" t="s">
        <v>326</v>
      </c>
      <c r="F364" s="64">
        <v>24</v>
      </c>
      <c r="G364" s="15">
        <v>18.54</v>
      </c>
      <c r="H364" s="18">
        <f t="shared" si="25"/>
        <v>444.96</v>
      </c>
      <c r="J364" s="66"/>
    </row>
    <row r="365" spans="1:10" s="69" customFormat="1" outlineLevel="1">
      <c r="A365" s="62" t="s">
        <v>699</v>
      </c>
      <c r="B365" s="62" t="s">
        <v>7</v>
      </c>
      <c r="C365" s="62"/>
      <c r="D365" s="61" t="s">
        <v>696</v>
      </c>
      <c r="E365" s="63" t="s">
        <v>36</v>
      </c>
      <c r="F365" s="64">
        <v>1</v>
      </c>
      <c r="G365" s="15">
        <v>266.58</v>
      </c>
      <c r="H365" s="18">
        <f t="shared" si="25"/>
        <v>266.58</v>
      </c>
      <c r="J365" s="66"/>
    </row>
    <row r="366" spans="1:10" s="69" customFormat="1" outlineLevel="1">
      <c r="A366" s="62" t="s">
        <v>700</v>
      </c>
      <c r="B366" s="62" t="s">
        <v>7</v>
      </c>
      <c r="C366" s="62"/>
      <c r="D366" s="61" t="s">
        <v>510</v>
      </c>
      <c r="E366" s="63" t="s">
        <v>294</v>
      </c>
      <c r="F366" s="64">
        <v>4</v>
      </c>
      <c r="G366" s="15">
        <v>45</v>
      </c>
      <c r="H366" s="18">
        <f t="shared" si="25"/>
        <v>180</v>
      </c>
      <c r="J366" s="66"/>
    </row>
    <row r="367" spans="1:10" s="69" customFormat="1" outlineLevel="1">
      <c r="A367" s="62" t="s">
        <v>701</v>
      </c>
      <c r="B367" s="62" t="s">
        <v>7</v>
      </c>
      <c r="C367" s="62"/>
      <c r="D367" s="61" t="s">
        <v>511</v>
      </c>
      <c r="E367" s="63" t="s">
        <v>294</v>
      </c>
      <c r="F367" s="64">
        <v>1</v>
      </c>
      <c r="G367" s="15">
        <v>105</v>
      </c>
      <c r="H367" s="18">
        <f t="shared" si="25"/>
        <v>105</v>
      </c>
      <c r="J367" s="66"/>
    </row>
    <row r="368" spans="1:10" s="69" customFormat="1" outlineLevel="1">
      <c r="A368" s="62" t="s">
        <v>702</v>
      </c>
      <c r="B368" s="62" t="s">
        <v>7</v>
      </c>
      <c r="C368" s="62"/>
      <c r="D368" s="61" t="s">
        <v>512</v>
      </c>
      <c r="E368" s="63" t="s">
        <v>294</v>
      </c>
      <c r="F368" s="64">
        <v>2</v>
      </c>
      <c r="G368" s="15">
        <v>299</v>
      </c>
      <c r="H368" s="18">
        <f t="shared" si="25"/>
        <v>598</v>
      </c>
      <c r="J368" s="66"/>
    </row>
    <row r="369" spans="1:10" s="69" customFormat="1" outlineLevel="1">
      <c r="A369" s="62" t="s">
        <v>703</v>
      </c>
      <c r="B369" s="62" t="s">
        <v>7</v>
      </c>
      <c r="C369" s="62"/>
      <c r="D369" s="61" t="s">
        <v>513</v>
      </c>
      <c r="E369" s="63" t="s">
        <v>294</v>
      </c>
      <c r="F369" s="64">
        <v>2</v>
      </c>
      <c r="G369" s="15">
        <v>23</v>
      </c>
      <c r="H369" s="18">
        <f t="shared" si="25"/>
        <v>46</v>
      </c>
      <c r="J369" s="66"/>
    </row>
    <row r="370" spans="1:10" s="69" customFormat="1" outlineLevel="1">
      <c r="A370" s="62" t="s">
        <v>704</v>
      </c>
      <c r="B370" s="62" t="s">
        <v>7</v>
      </c>
      <c r="C370" s="62"/>
      <c r="D370" s="61" t="s">
        <v>514</v>
      </c>
      <c r="E370" s="63" t="s">
        <v>294</v>
      </c>
      <c r="F370" s="64">
        <v>1</v>
      </c>
      <c r="G370" s="15">
        <v>36</v>
      </c>
      <c r="H370" s="18">
        <f t="shared" si="25"/>
        <v>36</v>
      </c>
      <c r="J370" s="66"/>
    </row>
    <row r="371" spans="1:10" ht="12.75" customHeight="1" outlineLevel="1">
      <c r="A371" s="22" t="s">
        <v>749</v>
      </c>
      <c r="B371" s="22"/>
      <c r="C371" s="22"/>
      <c r="D371" s="23"/>
      <c r="E371" s="23"/>
      <c r="F371" s="24"/>
      <c r="G371" s="24"/>
      <c r="H371" s="25">
        <f>SUM(H363:H370)</f>
        <v>3013.14</v>
      </c>
      <c r="J371" s="43"/>
    </row>
    <row r="372" spans="1:10">
      <c r="A372" s="62"/>
      <c r="B372" s="62"/>
      <c r="C372" s="62"/>
      <c r="D372" s="61"/>
      <c r="E372" s="62"/>
      <c r="F372" s="62"/>
      <c r="G372" s="62"/>
      <c r="H372" s="62"/>
      <c r="J372" s="43"/>
    </row>
    <row r="373" spans="1:10">
      <c r="A373" s="29">
        <v>19</v>
      </c>
      <c r="B373" s="29"/>
      <c r="C373" s="29"/>
      <c r="D373" s="30" t="s">
        <v>590</v>
      </c>
      <c r="E373" s="30"/>
      <c r="F373" s="31"/>
      <c r="G373" s="31"/>
      <c r="H373" s="32">
        <f>H382</f>
        <v>1636.28</v>
      </c>
      <c r="J373" s="137"/>
    </row>
    <row r="374" spans="1:10" s="69" customFormat="1" outlineLevel="1">
      <c r="A374" s="62" t="s">
        <v>120</v>
      </c>
      <c r="B374" s="62" t="s">
        <v>591</v>
      </c>
      <c r="C374" s="62" t="s">
        <v>299</v>
      </c>
      <c r="D374" s="61" t="s">
        <v>515</v>
      </c>
      <c r="E374" s="63" t="s">
        <v>294</v>
      </c>
      <c r="F374" s="64">
        <v>4</v>
      </c>
      <c r="G374" s="15">
        <v>112.96</v>
      </c>
      <c r="H374" s="18">
        <f t="shared" ref="H374:H381" si="26">F374*G374</f>
        <v>451.84</v>
      </c>
      <c r="J374" s="66"/>
    </row>
    <row r="375" spans="1:10" s="69" customFormat="1" outlineLevel="1">
      <c r="A375" s="62" t="s">
        <v>705</v>
      </c>
      <c r="B375" s="62">
        <v>72554</v>
      </c>
      <c r="C375" s="62" t="s">
        <v>299</v>
      </c>
      <c r="D375" s="61" t="s">
        <v>516</v>
      </c>
      <c r="E375" s="63" t="s">
        <v>294</v>
      </c>
      <c r="F375" s="15">
        <v>1</v>
      </c>
      <c r="G375" s="15">
        <v>430.34</v>
      </c>
      <c r="H375" s="18">
        <f t="shared" si="26"/>
        <v>430.34</v>
      </c>
      <c r="J375" s="66"/>
    </row>
    <row r="376" spans="1:10" s="69" customFormat="1" outlineLevel="1">
      <c r="A376" s="62" t="s">
        <v>706</v>
      </c>
      <c r="B376" s="78" t="s">
        <v>7</v>
      </c>
      <c r="C376" s="78"/>
      <c r="D376" s="61" t="s">
        <v>517</v>
      </c>
      <c r="E376" s="63" t="s">
        <v>294</v>
      </c>
      <c r="F376" s="15">
        <v>9</v>
      </c>
      <c r="G376" s="64">
        <v>39.9</v>
      </c>
      <c r="H376" s="18">
        <f t="shared" si="26"/>
        <v>359.09999999999997</v>
      </c>
      <c r="J376" s="66"/>
    </row>
    <row r="377" spans="1:10" s="69" customFormat="1" outlineLevel="1">
      <c r="A377" s="62" t="s">
        <v>707</v>
      </c>
      <c r="B377" s="78" t="s">
        <v>7</v>
      </c>
      <c r="C377" s="78"/>
      <c r="D377" s="61" t="s">
        <v>518</v>
      </c>
      <c r="E377" s="63" t="s">
        <v>294</v>
      </c>
      <c r="F377" s="15">
        <v>3</v>
      </c>
      <c r="G377" s="64">
        <v>40</v>
      </c>
      <c r="H377" s="18">
        <f t="shared" si="26"/>
        <v>120</v>
      </c>
      <c r="J377" s="66"/>
    </row>
    <row r="378" spans="1:10" s="69" customFormat="1" outlineLevel="1">
      <c r="A378" s="62" t="s">
        <v>708</v>
      </c>
      <c r="B378" s="78" t="s">
        <v>7</v>
      </c>
      <c r="C378" s="78"/>
      <c r="D378" s="61" t="s">
        <v>519</v>
      </c>
      <c r="E378" s="63" t="s">
        <v>294</v>
      </c>
      <c r="F378" s="15">
        <v>2</v>
      </c>
      <c r="G378" s="64">
        <v>25</v>
      </c>
      <c r="H378" s="18">
        <f t="shared" si="26"/>
        <v>50</v>
      </c>
      <c r="J378" s="66"/>
    </row>
    <row r="379" spans="1:10" s="69" customFormat="1" outlineLevel="1">
      <c r="A379" s="62" t="s">
        <v>709</v>
      </c>
      <c r="B379" s="78" t="s">
        <v>7</v>
      </c>
      <c r="C379" s="78"/>
      <c r="D379" s="61" t="s">
        <v>520</v>
      </c>
      <c r="E379" s="63" t="s">
        <v>294</v>
      </c>
      <c r="F379" s="15">
        <v>3</v>
      </c>
      <c r="G379" s="64">
        <v>25</v>
      </c>
      <c r="H379" s="18">
        <f t="shared" si="26"/>
        <v>75</v>
      </c>
      <c r="J379" s="66"/>
    </row>
    <row r="380" spans="1:10" s="69" customFormat="1" outlineLevel="1">
      <c r="A380" s="62" t="s">
        <v>710</v>
      </c>
      <c r="B380" s="78" t="s">
        <v>7</v>
      </c>
      <c r="C380" s="78"/>
      <c r="D380" s="61" t="s">
        <v>521</v>
      </c>
      <c r="E380" s="63" t="s">
        <v>294</v>
      </c>
      <c r="F380" s="64">
        <v>1</v>
      </c>
      <c r="G380" s="64">
        <v>25</v>
      </c>
      <c r="H380" s="18">
        <f t="shared" si="26"/>
        <v>25</v>
      </c>
      <c r="J380" s="66"/>
    </row>
    <row r="381" spans="1:10" s="69" customFormat="1" outlineLevel="1">
      <c r="A381" s="62" t="s">
        <v>711</v>
      </c>
      <c r="B381" s="78" t="s">
        <v>7</v>
      </c>
      <c r="C381" s="78"/>
      <c r="D381" s="61" t="s">
        <v>522</v>
      </c>
      <c r="E381" s="63" t="s">
        <v>294</v>
      </c>
      <c r="F381" s="64">
        <v>5</v>
      </c>
      <c r="G381" s="64">
        <v>25</v>
      </c>
      <c r="H381" s="18">
        <f t="shared" si="26"/>
        <v>125</v>
      </c>
      <c r="J381" s="66"/>
    </row>
    <row r="382" spans="1:10" ht="12" customHeight="1" outlineLevel="1">
      <c r="A382" s="22" t="s">
        <v>749</v>
      </c>
      <c r="B382" s="62"/>
      <c r="C382" s="62"/>
      <c r="D382" s="23"/>
      <c r="E382" s="38"/>
      <c r="F382" s="39"/>
      <c r="G382" s="15"/>
      <c r="H382" s="25">
        <f>SUM(H374:H381)</f>
        <v>1636.28</v>
      </c>
      <c r="J382" s="43"/>
    </row>
    <row r="383" spans="1:10" ht="12" customHeight="1" outlineLevel="1">
      <c r="A383" s="22"/>
      <c r="B383" s="62"/>
      <c r="C383" s="62"/>
      <c r="D383" s="23"/>
      <c r="E383" s="38"/>
      <c r="F383" s="39"/>
      <c r="G383" s="15"/>
      <c r="H383" s="25"/>
      <c r="J383" s="43"/>
    </row>
    <row r="384" spans="1:10" ht="12" customHeight="1">
      <c r="A384" s="22"/>
      <c r="B384" s="14"/>
      <c r="C384" s="14"/>
      <c r="D384" s="23"/>
      <c r="E384" s="38"/>
      <c r="F384" s="39"/>
      <c r="G384" s="39"/>
      <c r="H384" s="25"/>
      <c r="J384" s="43"/>
    </row>
    <row r="385" spans="1:10">
      <c r="A385" s="29">
        <v>20</v>
      </c>
      <c r="B385" s="29"/>
      <c r="C385" s="29"/>
      <c r="D385" s="30" t="s">
        <v>606</v>
      </c>
      <c r="E385" s="30"/>
      <c r="F385" s="31"/>
      <c r="G385" s="31"/>
      <c r="H385" s="32">
        <f>H408</f>
        <v>87671.382899999982</v>
      </c>
      <c r="J385" s="137"/>
    </row>
    <row r="386" spans="1:10" outlineLevel="1">
      <c r="A386" s="22" t="s">
        <v>121</v>
      </c>
      <c r="B386" s="17"/>
      <c r="C386" s="17"/>
      <c r="D386" s="28" t="s">
        <v>608</v>
      </c>
      <c r="E386" s="19"/>
      <c r="F386" s="55"/>
      <c r="G386" s="15"/>
      <c r="H386" s="18"/>
      <c r="J386" s="43"/>
    </row>
    <row r="387" spans="1:10" ht="25.5" outlineLevel="1">
      <c r="A387" s="17" t="s">
        <v>712</v>
      </c>
      <c r="B387" s="17" t="s">
        <v>369</v>
      </c>
      <c r="C387" s="17" t="s">
        <v>299</v>
      </c>
      <c r="D387" s="20" t="s">
        <v>607</v>
      </c>
      <c r="E387" s="19" t="s">
        <v>300</v>
      </c>
      <c r="F387" s="55">
        <f>93.5+70.62+70.62+7.06</f>
        <v>241.8</v>
      </c>
      <c r="G387" s="15">
        <v>27.2</v>
      </c>
      <c r="H387" s="18">
        <f t="shared" ref="H387:H407" si="27">F387*G387</f>
        <v>6576.96</v>
      </c>
      <c r="J387" s="43"/>
    </row>
    <row r="388" spans="1:10" ht="25.5" outlineLevel="1">
      <c r="A388" s="17" t="s">
        <v>713</v>
      </c>
      <c r="B388" s="17">
        <v>5974</v>
      </c>
      <c r="C388" s="17" t="s">
        <v>299</v>
      </c>
      <c r="D388" s="20" t="s">
        <v>456</v>
      </c>
      <c r="E388" s="19" t="s">
        <v>300</v>
      </c>
      <c r="F388" s="55">
        <f>52.18+87.67+87.67+233.2</f>
        <v>460.71999999999997</v>
      </c>
      <c r="G388" s="15">
        <v>3.08</v>
      </c>
      <c r="H388" s="18">
        <f t="shared" si="27"/>
        <v>1419.0175999999999</v>
      </c>
      <c r="J388" s="43"/>
    </row>
    <row r="389" spans="1:10" ht="25.5" outlineLevel="1">
      <c r="A389" s="17" t="s">
        <v>714</v>
      </c>
      <c r="B389" s="17" t="s">
        <v>403</v>
      </c>
      <c r="C389" s="17" t="s">
        <v>299</v>
      </c>
      <c r="D389" s="20" t="s">
        <v>404</v>
      </c>
      <c r="E389" s="19" t="s">
        <v>300</v>
      </c>
      <c r="F389" s="55">
        <f>F388</f>
        <v>460.71999999999997</v>
      </c>
      <c r="G389" s="15">
        <v>15.47</v>
      </c>
      <c r="H389" s="18">
        <f t="shared" si="27"/>
        <v>7127.3383999999996</v>
      </c>
      <c r="J389" s="43"/>
    </row>
    <row r="390" spans="1:10" outlineLevel="1">
      <c r="A390" s="17" t="s">
        <v>715</v>
      </c>
      <c r="B390" s="17" t="s">
        <v>15</v>
      </c>
      <c r="C390" s="17" t="s">
        <v>299</v>
      </c>
      <c r="D390" s="20" t="s">
        <v>455</v>
      </c>
      <c r="E390" s="19" t="s">
        <v>300</v>
      </c>
      <c r="F390" s="55">
        <v>460.72</v>
      </c>
      <c r="G390" s="15">
        <v>10.210000000000001</v>
      </c>
      <c r="H390" s="18">
        <f t="shared" si="27"/>
        <v>4703.9512000000004</v>
      </c>
      <c r="J390" s="43"/>
    </row>
    <row r="391" spans="1:10" outlineLevel="1">
      <c r="A391" s="74" t="s">
        <v>829</v>
      </c>
      <c r="B391" s="74"/>
      <c r="C391" s="74"/>
      <c r="D391" s="75" t="s">
        <v>719</v>
      </c>
      <c r="E391" s="68"/>
      <c r="F391" s="64"/>
      <c r="G391" s="64"/>
      <c r="H391" s="68"/>
      <c r="J391" s="43"/>
    </row>
    <row r="392" spans="1:10" outlineLevel="1">
      <c r="A392" s="14" t="s">
        <v>828</v>
      </c>
      <c r="B392" s="14">
        <v>5651</v>
      </c>
      <c r="C392" s="17" t="s">
        <v>299</v>
      </c>
      <c r="D392" s="21" t="s">
        <v>841</v>
      </c>
      <c r="E392" s="13" t="s">
        <v>300</v>
      </c>
      <c r="F392" s="54">
        <v>32.659999999999997</v>
      </c>
      <c r="G392" s="15">
        <v>33.590000000000003</v>
      </c>
      <c r="H392" s="18">
        <f t="shared" ref="H392:H395" si="28">F392*G392</f>
        <v>1097.0494000000001</v>
      </c>
      <c r="J392" s="43"/>
    </row>
    <row r="393" spans="1:10" ht="25.5" outlineLevel="1">
      <c r="A393" s="14" t="s">
        <v>830</v>
      </c>
      <c r="B393" s="14" t="s">
        <v>316</v>
      </c>
      <c r="C393" s="17" t="s">
        <v>299</v>
      </c>
      <c r="D393" s="20" t="s">
        <v>726</v>
      </c>
      <c r="E393" s="13" t="s">
        <v>317</v>
      </c>
      <c r="F393" s="54">
        <v>776.28</v>
      </c>
      <c r="G393" s="15">
        <v>6.35</v>
      </c>
      <c r="H393" s="18">
        <f t="shared" si="28"/>
        <v>4929.3779999999997</v>
      </c>
      <c r="J393" s="43"/>
    </row>
    <row r="394" spans="1:10" ht="25.5" outlineLevel="1">
      <c r="A394" s="14" t="s">
        <v>722</v>
      </c>
      <c r="B394" s="14" t="s">
        <v>721</v>
      </c>
      <c r="C394" s="17" t="s">
        <v>299</v>
      </c>
      <c r="D394" s="20" t="s">
        <v>842</v>
      </c>
      <c r="E394" s="13" t="s">
        <v>317</v>
      </c>
      <c r="F394" s="54">
        <v>257.76</v>
      </c>
      <c r="G394" s="15">
        <v>6.84</v>
      </c>
      <c r="H394" s="18">
        <f t="shared" si="28"/>
        <v>1763.0783999999999</v>
      </c>
      <c r="J394" s="43"/>
    </row>
    <row r="395" spans="1:10" ht="25.5" outlineLevel="1">
      <c r="A395" s="14" t="s">
        <v>723</v>
      </c>
      <c r="B395" s="14">
        <v>72819</v>
      </c>
      <c r="C395" s="17" t="s">
        <v>299</v>
      </c>
      <c r="D395" s="52" t="s">
        <v>843</v>
      </c>
      <c r="E395" s="13" t="s">
        <v>326</v>
      </c>
      <c r="F395" s="54">
        <v>178</v>
      </c>
      <c r="G395" s="15">
        <v>52.28</v>
      </c>
      <c r="H395" s="18">
        <f t="shared" si="28"/>
        <v>9305.84</v>
      </c>
      <c r="J395" s="43"/>
    </row>
    <row r="396" spans="1:10" outlineLevel="1">
      <c r="A396" s="22" t="s">
        <v>829</v>
      </c>
      <c r="B396" s="17"/>
      <c r="C396" s="17"/>
      <c r="D396" s="28" t="s">
        <v>610</v>
      </c>
      <c r="E396" s="19"/>
      <c r="F396" s="55"/>
      <c r="G396" s="15"/>
      <c r="H396" s="18"/>
      <c r="J396" s="43"/>
    </row>
    <row r="397" spans="1:10" ht="12.75" customHeight="1" outlineLevel="1">
      <c r="A397" s="17" t="s">
        <v>828</v>
      </c>
      <c r="B397" s="17" t="s">
        <v>694</v>
      </c>
      <c r="C397" s="17" t="s">
        <v>299</v>
      </c>
      <c r="D397" s="20" t="s">
        <v>826</v>
      </c>
      <c r="E397" s="19" t="s">
        <v>300</v>
      </c>
      <c r="F397" s="55">
        <v>121</v>
      </c>
      <c r="G397" s="64">
        <v>29.42</v>
      </c>
      <c r="H397" s="18">
        <f t="shared" si="27"/>
        <v>3559.82</v>
      </c>
      <c r="J397" s="43"/>
    </row>
    <row r="398" spans="1:10" ht="12.75" customHeight="1" outlineLevel="1">
      <c r="A398" s="17" t="s">
        <v>830</v>
      </c>
      <c r="B398" s="17" t="s">
        <v>415</v>
      </c>
      <c r="C398" s="17" t="s">
        <v>299</v>
      </c>
      <c r="D398" s="20" t="s">
        <v>133</v>
      </c>
      <c r="E398" s="19" t="s">
        <v>300</v>
      </c>
      <c r="F398" s="55">
        <v>121</v>
      </c>
      <c r="G398" s="15">
        <v>14.22</v>
      </c>
      <c r="H398" s="18">
        <f t="shared" si="27"/>
        <v>1720.6200000000001</v>
      </c>
      <c r="J398" s="43"/>
    </row>
    <row r="399" spans="1:10" ht="12.75" customHeight="1" outlineLevel="1">
      <c r="A399" s="17" t="s">
        <v>831</v>
      </c>
      <c r="B399" s="17" t="s">
        <v>825</v>
      </c>
      <c r="C399" s="17"/>
      <c r="D399" s="20" t="s">
        <v>827</v>
      </c>
      <c r="E399" s="19" t="s">
        <v>300</v>
      </c>
      <c r="F399" s="55">
        <v>121</v>
      </c>
      <c r="G399" s="64">
        <v>117.42</v>
      </c>
      <c r="H399" s="18">
        <f t="shared" si="27"/>
        <v>14207.82</v>
      </c>
      <c r="J399" s="43"/>
    </row>
    <row r="400" spans="1:10" ht="12.75" customHeight="1" outlineLevel="1">
      <c r="A400" s="17" t="s">
        <v>832</v>
      </c>
      <c r="B400" s="17" t="s">
        <v>568</v>
      </c>
      <c r="C400" s="17" t="s">
        <v>299</v>
      </c>
      <c r="D400" s="20" t="s">
        <v>811</v>
      </c>
      <c r="E400" s="19" t="s">
        <v>300</v>
      </c>
      <c r="F400" s="55">
        <v>114.29</v>
      </c>
      <c r="G400" s="15">
        <v>43.43</v>
      </c>
      <c r="H400" s="18">
        <f t="shared" si="27"/>
        <v>4963.6147000000001</v>
      </c>
      <c r="J400" s="43"/>
    </row>
    <row r="401" spans="1:10" ht="12.75" customHeight="1" outlineLevel="1">
      <c r="A401" s="17" t="s">
        <v>833</v>
      </c>
      <c r="B401" s="17">
        <v>270210</v>
      </c>
      <c r="C401" s="17" t="s">
        <v>690</v>
      </c>
      <c r="D401" s="61" t="s">
        <v>805</v>
      </c>
      <c r="E401" s="19" t="s">
        <v>300</v>
      </c>
      <c r="F401" s="55">
        <v>1183.76</v>
      </c>
      <c r="G401" s="15">
        <v>8.06</v>
      </c>
      <c r="H401" s="18">
        <f t="shared" si="27"/>
        <v>9541.1056000000008</v>
      </c>
      <c r="J401" s="43"/>
    </row>
    <row r="402" spans="1:10" ht="12.75" customHeight="1" outlineLevel="1">
      <c r="A402" s="17" t="s">
        <v>834</v>
      </c>
      <c r="B402" s="17"/>
      <c r="C402" s="17"/>
      <c r="D402" s="28" t="s">
        <v>611</v>
      </c>
      <c r="E402" s="19"/>
      <c r="F402" s="55"/>
      <c r="G402" s="15"/>
      <c r="H402" s="18"/>
      <c r="J402" s="43"/>
    </row>
    <row r="403" spans="1:10" ht="12.75" customHeight="1" outlineLevel="1">
      <c r="A403" s="17" t="s">
        <v>835</v>
      </c>
      <c r="B403" s="17">
        <v>180302</v>
      </c>
      <c r="C403" s="17" t="s">
        <v>690</v>
      </c>
      <c r="D403" s="20" t="s">
        <v>447</v>
      </c>
      <c r="E403" s="19" t="s">
        <v>300</v>
      </c>
      <c r="F403" s="55">
        <f>1.2*2.15</f>
        <v>2.5799999999999996</v>
      </c>
      <c r="G403" s="64">
        <v>203.78</v>
      </c>
      <c r="H403" s="18">
        <f t="shared" si="27"/>
        <v>525.75239999999997</v>
      </c>
      <c r="J403" s="43"/>
    </row>
    <row r="404" spans="1:10" ht="12.75" customHeight="1" outlineLevel="1">
      <c r="A404" s="17" t="s">
        <v>836</v>
      </c>
      <c r="B404" s="17">
        <v>180302</v>
      </c>
      <c r="C404" s="17" t="s">
        <v>690</v>
      </c>
      <c r="D404" s="20" t="s">
        <v>448</v>
      </c>
      <c r="E404" s="19" t="s">
        <v>300</v>
      </c>
      <c r="F404" s="55">
        <v>2.1</v>
      </c>
      <c r="G404" s="64">
        <v>203.78</v>
      </c>
      <c r="H404" s="18">
        <f t="shared" si="27"/>
        <v>427.93800000000005</v>
      </c>
      <c r="J404" s="43"/>
    </row>
    <row r="405" spans="1:10" ht="25.5">
      <c r="A405" s="17" t="s">
        <v>837</v>
      </c>
      <c r="B405" s="17">
        <v>180302</v>
      </c>
      <c r="C405" s="17" t="s">
        <v>690</v>
      </c>
      <c r="D405" s="20" t="s">
        <v>449</v>
      </c>
      <c r="E405" s="19" t="s">
        <v>300</v>
      </c>
      <c r="F405" s="55">
        <v>6.88</v>
      </c>
      <c r="G405" s="64">
        <v>203.78</v>
      </c>
      <c r="H405" s="18">
        <f t="shared" si="27"/>
        <v>1402.0064</v>
      </c>
      <c r="J405" s="137"/>
    </row>
    <row r="406" spans="1:10" outlineLevel="1">
      <c r="A406" s="17" t="s">
        <v>838</v>
      </c>
      <c r="B406" s="17" t="s">
        <v>424</v>
      </c>
      <c r="C406" s="17" t="s">
        <v>299</v>
      </c>
      <c r="D406" s="20" t="s">
        <v>840</v>
      </c>
      <c r="E406" s="19" t="s">
        <v>300</v>
      </c>
      <c r="F406" s="55">
        <v>65.319999999999993</v>
      </c>
      <c r="G406" s="15">
        <v>186.44</v>
      </c>
      <c r="H406" s="18">
        <f t="shared" si="27"/>
        <v>12178.260799999998</v>
      </c>
      <c r="J406" s="43"/>
    </row>
    <row r="407" spans="1:10" outlineLevel="1">
      <c r="A407" s="17" t="s">
        <v>839</v>
      </c>
      <c r="B407" s="17" t="s">
        <v>20</v>
      </c>
      <c r="C407" s="17" t="s">
        <v>299</v>
      </c>
      <c r="D407" s="20" t="s">
        <v>21</v>
      </c>
      <c r="E407" s="19" t="s">
        <v>300</v>
      </c>
      <c r="F407" s="55">
        <f>76.88*2</f>
        <v>153.76</v>
      </c>
      <c r="G407" s="15">
        <v>14.45</v>
      </c>
      <c r="H407" s="18">
        <f t="shared" si="27"/>
        <v>2221.8319999999999</v>
      </c>
      <c r="J407" s="43"/>
    </row>
    <row r="408" spans="1:10" outlineLevel="1">
      <c r="A408" s="22" t="s">
        <v>749</v>
      </c>
      <c r="B408" s="62"/>
      <c r="C408" s="62"/>
      <c r="D408" s="23"/>
      <c r="E408" s="38"/>
      <c r="F408" s="39"/>
      <c r="G408" s="15"/>
      <c r="H408" s="25">
        <f>SUM(H386:H407)</f>
        <v>87671.382899999982</v>
      </c>
      <c r="J408" s="43"/>
    </row>
    <row r="409" spans="1:10" outlineLevel="1">
      <c r="A409" s="29">
        <v>21</v>
      </c>
      <c r="B409" s="29"/>
      <c r="C409" s="29"/>
      <c r="D409" s="30" t="s">
        <v>122</v>
      </c>
      <c r="E409" s="30"/>
      <c r="F409" s="31"/>
      <c r="G409" s="96"/>
      <c r="H409" s="32">
        <f>H418</f>
        <v>6923.71</v>
      </c>
      <c r="J409" s="43"/>
    </row>
    <row r="410" spans="1:10" ht="25.5" outlineLevel="1">
      <c r="A410" s="17" t="s">
        <v>123</v>
      </c>
      <c r="B410" s="78" t="s">
        <v>691</v>
      </c>
      <c r="C410" s="78" t="s">
        <v>690</v>
      </c>
      <c r="D410" s="20" t="s">
        <v>693</v>
      </c>
      <c r="E410" s="13" t="s">
        <v>692</v>
      </c>
      <c r="F410" s="83">
        <v>1</v>
      </c>
      <c r="G410" s="64">
        <v>824.71</v>
      </c>
      <c r="H410" s="18">
        <f t="shared" ref="H410:H413" si="29">F410*G410</f>
        <v>824.71</v>
      </c>
      <c r="J410" s="43"/>
    </row>
    <row r="411" spans="1:10" outlineLevel="1">
      <c r="A411" s="17" t="s">
        <v>812</v>
      </c>
      <c r="B411" s="78" t="s">
        <v>7</v>
      </c>
      <c r="C411" s="78"/>
      <c r="D411" s="20" t="s">
        <v>818</v>
      </c>
      <c r="E411" s="13" t="s">
        <v>278</v>
      </c>
      <c r="F411" s="83">
        <v>1</v>
      </c>
      <c r="G411" s="64">
        <v>560</v>
      </c>
      <c r="H411" s="18">
        <f t="shared" si="29"/>
        <v>560</v>
      </c>
      <c r="J411" s="43"/>
    </row>
    <row r="412" spans="1:10" outlineLevel="1">
      <c r="A412" s="17" t="s">
        <v>813</v>
      </c>
      <c r="B412" s="78" t="s">
        <v>7</v>
      </c>
      <c r="C412" s="78"/>
      <c r="D412" s="20" t="s">
        <v>819</v>
      </c>
      <c r="E412" s="13" t="s">
        <v>278</v>
      </c>
      <c r="F412" s="83">
        <v>1</v>
      </c>
      <c r="G412" s="64">
        <v>920</v>
      </c>
      <c r="H412" s="18">
        <f t="shared" si="29"/>
        <v>920</v>
      </c>
      <c r="J412" s="43"/>
    </row>
    <row r="413" spans="1:10" outlineLevel="1">
      <c r="A413" s="17" t="s">
        <v>814</v>
      </c>
      <c r="B413" s="78" t="s">
        <v>7</v>
      </c>
      <c r="C413" s="78"/>
      <c r="D413" s="20" t="s">
        <v>820</v>
      </c>
      <c r="E413" s="13" t="s">
        <v>278</v>
      </c>
      <c r="F413" s="83">
        <v>1</v>
      </c>
      <c r="G413" s="64">
        <v>1490</v>
      </c>
      <c r="H413" s="18">
        <f t="shared" si="29"/>
        <v>1490</v>
      </c>
      <c r="J413" s="43"/>
    </row>
    <row r="414" spans="1:10" outlineLevel="1">
      <c r="A414" s="17" t="s">
        <v>815</v>
      </c>
      <c r="B414" s="78" t="s">
        <v>7</v>
      </c>
      <c r="C414" s="78"/>
      <c r="D414" s="20" t="s">
        <v>821</v>
      </c>
      <c r="E414" s="13" t="s">
        <v>278</v>
      </c>
      <c r="F414" s="83">
        <v>1</v>
      </c>
      <c r="G414" s="64">
        <v>790</v>
      </c>
      <c r="H414" s="18">
        <f t="shared" ref="H414" si="30">F414*G414</f>
        <v>790</v>
      </c>
      <c r="J414" s="43"/>
    </row>
    <row r="415" spans="1:10">
      <c r="A415" s="17" t="s">
        <v>816</v>
      </c>
      <c r="B415" s="78" t="s">
        <v>7</v>
      </c>
      <c r="C415" s="78"/>
      <c r="D415" s="20" t="s">
        <v>822</v>
      </c>
      <c r="E415" s="13" t="s">
        <v>278</v>
      </c>
      <c r="F415" s="83">
        <v>1</v>
      </c>
      <c r="G415" s="64">
        <v>399</v>
      </c>
      <c r="H415" s="18">
        <f t="shared" ref="H415" si="31">F415*G415</f>
        <v>399</v>
      </c>
      <c r="J415" s="137"/>
    </row>
    <row r="416" spans="1:10" outlineLevel="1">
      <c r="A416" s="17" t="s">
        <v>817</v>
      </c>
      <c r="B416" s="78" t="s">
        <v>7</v>
      </c>
      <c r="C416" s="78"/>
      <c r="D416" s="20" t="s">
        <v>823</v>
      </c>
      <c r="E416" s="13" t="s">
        <v>278</v>
      </c>
      <c r="F416" s="83">
        <v>1</v>
      </c>
      <c r="G416" s="64">
        <v>1940</v>
      </c>
      <c r="H416" s="18">
        <f t="shared" ref="H416" si="32">F416*G416</f>
        <v>1940</v>
      </c>
      <c r="J416" s="43"/>
    </row>
    <row r="417" spans="1:10" ht="12.75" customHeight="1" outlineLevel="1">
      <c r="A417" s="17"/>
      <c r="B417" s="78"/>
      <c r="C417" s="78"/>
      <c r="D417" s="20"/>
      <c r="E417" s="13"/>
      <c r="F417" s="83"/>
      <c r="G417" s="64"/>
      <c r="H417" s="18"/>
      <c r="J417" s="43"/>
    </row>
    <row r="418" spans="1:10">
      <c r="A418" s="22" t="s">
        <v>749</v>
      </c>
      <c r="B418" s="22"/>
      <c r="C418" s="22"/>
      <c r="D418" s="23"/>
      <c r="E418" s="23"/>
      <c r="F418" s="24"/>
      <c r="G418" s="24"/>
      <c r="H418" s="25">
        <f>SUM(H410:H416)</f>
        <v>6923.71</v>
      </c>
      <c r="J418" s="43"/>
    </row>
    <row r="419" spans="1:10" collapsed="1">
      <c r="A419" s="29">
        <v>22</v>
      </c>
      <c r="B419" s="29"/>
      <c r="C419" s="29"/>
      <c r="D419" s="30" t="s">
        <v>743</v>
      </c>
      <c r="E419" s="30"/>
      <c r="F419" s="31"/>
      <c r="G419" s="96"/>
      <c r="H419" s="32">
        <f>H427</f>
        <v>74048.214000000007</v>
      </c>
    </row>
    <row r="420" spans="1:10">
      <c r="A420" s="17" t="s">
        <v>612</v>
      </c>
      <c r="B420" s="129" t="s">
        <v>824</v>
      </c>
      <c r="C420" s="17" t="s">
        <v>299</v>
      </c>
      <c r="D420" s="20" t="s">
        <v>737</v>
      </c>
      <c r="E420" s="13" t="s">
        <v>744</v>
      </c>
      <c r="F420" s="83">
        <v>550</v>
      </c>
      <c r="G420" s="76">
        <v>42.54</v>
      </c>
      <c r="H420" s="18">
        <f t="shared" ref="H420:H426" si="33">G420*F420</f>
        <v>23397</v>
      </c>
    </row>
    <row r="421" spans="1:10">
      <c r="A421" s="17" t="s">
        <v>745</v>
      </c>
      <c r="B421" s="129" t="s">
        <v>739</v>
      </c>
      <c r="C421" s="17" t="s">
        <v>299</v>
      </c>
      <c r="D421" s="36" t="s">
        <v>738</v>
      </c>
      <c r="E421" s="13" t="s">
        <v>744</v>
      </c>
      <c r="F421" s="83">
        <v>8</v>
      </c>
      <c r="G421" s="37">
        <v>3707.67</v>
      </c>
      <c r="H421" s="18">
        <f t="shared" si="33"/>
        <v>29661.360000000001</v>
      </c>
    </row>
    <row r="422" spans="1:10">
      <c r="A422" s="17" t="s">
        <v>746</v>
      </c>
      <c r="B422" s="129" t="s">
        <v>741</v>
      </c>
      <c r="C422" s="17" t="s">
        <v>299</v>
      </c>
      <c r="D422" s="20" t="s">
        <v>740</v>
      </c>
      <c r="E422" s="13" t="s">
        <v>744</v>
      </c>
      <c r="F422" s="83">
        <v>8</v>
      </c>
      <c r="G422" s="37">
        <v>1428.51</v>
      </c>
      <c r="H422" s="18">
        <f t="shared" si="33"/>
        <v>11428.08</v>
      </c>
    </row>
    <row r="423" spans="1:10">
      <c r="A423" s="17" t="s">
        <v>747</v>
      </c>
      <c r="B423" s="129">
        <v>271500</v>
      </c>
      <c r="C423" s="17" t="s">
        <v>690</v>
      </c>
      <c r="D423" s="20" t="s">
        <v>794</v>
      </c>
      <c r="E423" s="13" t="s">
        <v>791</v>
      </c>
      <c r="F423" s="83">
        <v>880</v>
      </c>
      <c r="G423" s="37">
        <v>0.94</v>
      </c>
      <c r="H423" s="18">
        <f t="shared" si="33"/>
        <v>827.19999999999993</v>
      </c>
    </row>
    <row r="424" spans="1:10">
      <c r="A424" s="17" t="s">
        <v>748</v>
      </c>
      <c r="B424" s="129">
        <v>271502</v>
      </c>
      <c r="C424" s="17" t="s">
        <v>690</v>
      </c>
      <c r="D424" s="20" t="s">
        <v>793</v>
      </c>
      <c r="E424" s="13" t="s">
        <v>791</v>
      </c>
      <c r="F424" s="83">
        <v>880</v>
      </c>
      <c r="G424" s="37">
        <v>5.5</v>
      </c>
      <c r="H424" s="18">
        <f t="shared" si="33"/>
        <v>4840</v>
      </c>
    </row>
    <row r="425" spans="1:10">
      <c r="A425" s="17" t="s">
        <v>792</v>
      </c>
      <c r="B425" s="129">
        <v>21401</v>
      </c>
      <c r="C425" s="17" t="s">
        <v>690</v>
      </c>
      <c r="D425" s="20" t="s">
        <v>798</v>
      </c>
      <c r="E425" s="13" t="s">
        <v>796</v>
      </c>
      <c r="F425" s="83">
        <v>2202.16</v>
      </c>
      <c r="G425" s="37">
        <v>0.5</v>
      </c>
      <c r="H425" s="18">
        <f t="shared" si="33"/>
        <v>1101.08</v>
      </c>
    </row>
    <row r="426" spans="1:10">
      <c r="A426" s="17" t="s">
        <v>795</v>
      </c>
      <c r="B426" s="129">
        <v>21602</v>
      </c>
      <c r="C426" s="17" t="s">
        <v>690</v>
      </c>
      <c r="D426" s="20" t="s">
        <v>797</v>
      </c>
      <c r="E426" s="13" t="s">
        <v>300</v>
      </c>
      <c r="F426" s="83">
        <v>668.3</v>
      </c>
      <c r="G426" s="37">
        <v>4.18</v>
      </c>
      <c r="H426" s="18">
        <f t="shared" si="33"/>
        <v>2793.4939999999997</v>
      </c>
    </row>
    <row r="427" spans="1:10">
      <c r="A427" s="22" t="s">
        <v>790</v>
      </c>
      <c r="B427" s="17"/>
      <c r="C427" s="17"/>
      <c r="D427" s="20"/>
      <c r="E427" s="19"/>
      <c r="F427" s="55"/>
      <c r="G427" s="37"/>
      <c r="H427" s="25">
        <f>SUM(H420:H426)</f>
        <v>74048.214000000007</v>
      </c>
    </row>
    <row r="428" spans="1:10">
      <c r="A428" s="17"/>
      <c r="B428" s="17"/>
      <c r="C428" s="17"/>
      <c r="D428" s="20"/>
      <c r="E428" s="19"/>
      <c r="F428" s="55"/>
      <c r="G428" s="37"/>
      <c r="H428" s="41"/>
    </row>
    <row r="429" spans="1:10">
      <c r="A429" s="29">
        <v>23</v>
      </c>
      <c r="B429" s="29"/>
      <c r="C429" s="29"/>
      <c r="D429" s="30" t="s">
        <v>124</v>
      </c>
      <c r="E429" s="30"/>
      <c r="F429" s="31"/>
      <c r="G429" s="31"/>
      <c r="H429" s="32">
        <f>H431</f>
        <v>865.34159999999997</v>
      </c>
    </row>
    <row r="430" spans="1:10">
      <c r="A430" s="17" t="s">
        <v>742</v>
      </c>
      <c r="B430" s="17">
        <v>9537</v>
      </c>
      <c r="C430" s="17" t="s">
        <v>299</v>
      </c>
      <c r="D430" s="42" t="s">
        <v>125</v>
      </c>
      <c r="E430" s="19" t="s">
        <v>300</v>
      </c>
      <c r="F430" s="55">
        <f>F135+F137</f>
        <v>816.3599999999999</v>
      </c>
      <c r="G430" s="15">
        <v>1.06</v>
      </c>
      <c r="H430" s="18">
        <f t="shared" ref="H430" si="34">F430*G430</f>
        <v>865.34159999999997</v>
      </c>
    </row>
    <row r="431" spans="1:10">
      <c r="A431" s="22"/>
      <c r="B431" s="22"/>
      <c r="C431" s="22"/>
      <c r="D431" s="23"/>
      <c r="E431" s="23"/>
      <c r="F431" s="24"/>
      <c r="G431" s="24"/>
      <c r="H431" s="25">
        <f>SUM(H430)</f>
        <v>865.34159999999997</v>
      </c>
    </row>
    <row r="432" spans="1:10">
      <c r="A432" s="100"/>
      <c r="B432" s="100"/>
      <c r="C432" s="100"/>
      <c r="D432" s="101"/>
      <c r="E432" s="102"/>
      <c r="F432" s="103"/>
      <c r="G432" s="104"/>
      <c r="H432" s="105"/>
    </row>
    <row r="433" spans="3:8">
      <c r="C433" s="47"/>
      <c r="D433" s="48"/>
      <c r="E433" s="4"/>
      <c r="F433" s="57"/>
      <c r="G433" s="140" t="s">
        <v>733</v>
      </c>
      <c r="H433" s="141">
        <f>SUM(H19+H27+H36+H52+H72+H83+H113+H119+H124+H134+H148+H157+H165+H266+H310+H328+H356+H362+H373+H385+H409+H429+H419)</f>
        <v>961474.03332799999</v>
      </c>
    </row>
    <row r="434" spans="3:8">
      <c r="C434" s="47"/>
      <c r="D434" s="139"/>
      <c r="E434" s="4"/>
      <c r="F434" s="57"/>
      <c r="G434" s="142" t="s">
        <v>734</v>
      </c>
      <c r="H434" s="141">
        <f>H433*0.2409</f>
        <v>231619.09462871519</v>
      </c>
    </row>
    <row r="435" spans="3:8">
      <c r="C435" s="47"/>
      <c r="D435" s="4" t="s">
        <v>806</v>
      </c>
      <c r="E435" s="4"/>
      <c r="F435" s="57"/>
      <c r="G435" s="142" t="s">
        <v>735</v>
      </c>
      <c r="H435" s="141">
        <f>H434+H433</f>
        <v>1193093.1279567152</v>
      </c>
    </row>
    <row r="436" spans="3:8">
      <c r="C436" s="47"/>
      <c r="D436" s="138"/>
      <c r="E436" s="4"/>
      <c r="F436" s="57"/>
      <c r="G436" s="49"/>
    </row>
    <row r="437" spans="3:8">
      <c r="C437" s="47"/>
      <c r="D437" s="48"/>
      <c r="E437" s="4"/>
      <c r="F437" s="57"/>
      <c r="G437" s="49"/>
    </row>
    <row r="438" spans="3:8">
      <c r="H438" s="43"/>
    </row>
  </sheetData>
  <mergeCells count="5">
    <mergeCell ref="I13:J13"/>
    <mergeCell ref="A16:H16"/>
    <mergeCell ref="A15:H15"/>
    <mergeCell ref="A13:H13"/>
    <mergeCell ref="F12:G12"/>
  </mergeCells>
  <phoneticPr fontId="5" type="noConversion"/>
  <conditionalFormatting sqref="F420 F408:G408 F410:F417 F363:F371 F374:F384 G384 G371 F360:G360 F354:G354 F326:G327 F308:G308 F299:F308 F294:F297 F289:F291 F282:F286 G264 G252:G262 F258:G262 F238:F240 G245 F242:F246 F248:F264 F231:F233 F235:F236 F84:G84 G198 F184:F189 F100 F50:G50 F70:G70 F167:F182 F191:F217 F220:F229 F25:G25 F17:G17">
    <cfRule type="cellIs" dxfId="0" priority="13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9" fitToHeight="15" orientation="portrait" r:id="rId1"/>
  <headerFooter alignWithMargins="0">
    <oddFooter>Página &amp;P de &amp;N</oddFooter>
  </headerFooter>
  <rowBreaks count="3" manualBreakCount="3">
    <brk id="77" max="7" man="1"/>
    <brk id="133" max="7" man="1"/>
    <brk id="349" max="7" man="1"/>
  </rowBreaks>
  <ignoredErrors>
    <ignoredError sqref="B410" numberStoredAsText="1"/>
    <ignoredError sqref="F38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6"/>
  <sheetViews>
    <sheetView tabSelected="1" view="pageBreakPreview" topLeftCell="C7" zoomScaleSheetLayoutView="100" workbookViewId="0">
      <selection activeCell="I35" sqref="I35"/>
    </sheetView>
  </sheetViews>
  <sheetFormatPr defaultRowHeight="14.25"/>
  <cols>
    <col min="2" max="2" width="14" customWidth="1"/>
  </cols>
  <sheetData>
    <row r="1" spans="1:20">
      <c r="A1" s="107"/>
      <c r="B1" s="107"/>
      <c r="C1" s="107"/>
      <c r="D1" s="107"/>
      <c r="E1" s="108"/>
      <c r="F1" s="107"/>
      <c r="G1" s="108"/>
      <c r="H1" s="107"/>
      <c r="I1" s="108"/>
      <c r="J1" s="108"/>
      <c r="K1" s="108"/>
      <c r="L1" s="107"/>
      <c r="M1" s="107"/>
      <c r="N1" s="107"/>
      <c r="O1" s="107"/>
      <c r="P1" s="107"/>
    </row>
    <row r="2" spans="1:20">
      <c r="A2" s="107"/>
      <c r="B2" s="107"/>
      <c r="C2" s="107"/>
      <c r="D2" s="107"/>
      <c r="E2" s="108"/>
      <c r="F2" s="107"/>
      <c r="G2" s="108"/>
      <c r="H2" s="107"/>
      <c r="I2" s="108"/>
      <c r="J2" s="108"/>
      <c r="K2" s="108"/>
      <c r="L2" s="107"/>
      <c r="M2" s="107"/>
      <c r="N2" s="107"/>
      <c r="O2" s="107"/>
      <c r="P2" s="107"/>
    </row>
    <row r="3" spans="1:20">
      <c r="A3" s="107"/>
      <c r="B3" s="107"/>
      <c r="C3" s="107"/>
      <c r="D3" s="107"/>
      <c r="E3" s="108"/>
      <c r="F3" s="107"/>
      <c r="G3" s="108"/>
      <c r="H3" s="107"/>
      <c r="I3" s="108"/>
      <c r="J3" s="108"/>
      <c r="K3" s="108"/>
      <c r="L3" s="107"/>
      <c r="M3" s="107"/>
      <c r="N3" s="107"/>
      <c r="O3" s="107"/>
      <c r="P3" s="107"/>
    </row>
    <row r="4" spans="1:20">
      <c r="A4" s="6"/>
      <c r="B4" s="6"/>
      <c r="C4" s="6"/>
      <c r="D4" s="7"/>
      <c r="E4" s="5"/>
      <c r="F4" s="58"/>
      <c r="G4" s="8"/>
      <c r="H4" s="1"/>
      <c r="I4" s="108"/>
      <c r="J4" s="108"/>
      <c r="K4" s="108"/>
      <c r="L4" s="107"/>
      <c r="M4" s="107"/>
      <c r="N4" s="107"/>
      <c r="O4" s="107"/>
      <c r="P4" s="107"/>
    </row>
    <row r="5" spans="1:20">
      <c r="A5" s="6"/>
      <c r="B5" s="6"/>
      <c r="C5" s="6"/>
      <c r="D5" s="7"/>
      <c r="E5" s="5"/>
      <c r="F5" s="58"/>
      <c r="G5" s="8"/>
      <c r="H5" s="1"/>
      <c r="I5" s="108"/>
      <c r="J5" s="108"/>
      <c r="K5" s="108"/>
      <c r="L5" s="107"/>
      <c r="M5" s="107"/>
      <c r="N5" s="107"/>
      <c r="O5" s="107"/>
      <c r="P5" s="107"/>
    </row>
    <row r="6" spans="1:20">
      <c r="A6" s="6"/>
      <c r="B6" s="6"/>
      <c r="C6" s="6"/>
      <c r="D6" s="7"/>
      <c r="E6" s="5"/>
      <c r="F6" s="58"/>
      <c r="G6" s="8"/>
      <c r="H6" s="1"/>
      <c r="I6" s="108"/>
      <c r="J6" s="108"/>
      <c r="K6" s="108"/>
      <c r="L6" s="107"/>
      <c r="M6" s="107"/>
      <c r="N6" s="107"/>
      <c r="O6" s="107"/>
      <c r="P6" s="107"/>
    </row>
    <row r="7" spans="1:20">
      <c r="A7" s="6"/>
      <c r="B7" s="6"/>
      <c r="C7" s="6"/>
      <c r="D7" s="7"/>
      <c r="E7" s="5"/>
      <c r="F7" s="58"/>
      <c r="G7" s="8"/>
      <c r="H7" s="1"/>
      <c r="I7" s="108"/>
      <c r="J7" s="108"/>
      <c r="K7" s="108"/>
      <c r="L7" s="107"/>
      <c r="M7" s="107"/>
      <c r="N7" s="107"/>
      <c r="O7" s="107"/>
      <c r="P7" s="107"/>
    </row>
    <row r="8" spans="1:20">
      <c r="A8" s="6"/>
      <c r="B8" s="6"/>
      <c r="C8" s="170" t="s">
        <v>750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</row>
    <row r="9" spans="1:20">
      <c r="A9" s="6"/>
      <c r="B9" s="6"/>
      <c r="C9" s="6"/>
      <c r="D9" s="7"/>
      <c r="E9" s="5"/>
      <c r="F9" s="58"/>
      <c r="G9" s="8"/>
      <c r="H9" s="1"/>
      <c r="I9" s="110"/>
      <c r="J9" s="110"/>
      <c r="K9" s="110"/>
      <c r="L9" s="110"/>
      <c r="M9" s="110"/>
      <c r="N9" s="110"/>
      <c r="O9" s="110"/>
      <c r="P9" s="110"/>
    </row>
    <row r="10" spans="1:20">
      <c r="A10" s="106" t="s">
        <v>731</v>
      </c>
      <c r="B10" s="106"/>
      <c r="C10" s="106"/>
      <c r="D10" s="106"/>
      <c r="E10" s="106"/>
      <c r="F10" s="106"/>
      <c r="G10" s="106"/>
      <c r="H10" s="106"/>
      <c r="I10" s="110"/>
      <c r="J10" s="110"/>
      <c r="K10" s="109"/>
      <c r="L10" s="110"/>
      <c r="M10" s="110"/>
      <c r="N10" s="110"/>
      <c r="O10" s="110"/>
      <c r="P10" s="110"/>
    </row>
    <row r="11" spans="1:20">
      <c r="A11" s="106" t="s">
        <v>730</v>
      </c>
      <c r="B11" s="106"/>
      <c r="C11" s="106"/>
      <c r="D11" s="106"/>
      <c r="E11" s="106"/>
      <c r="F11" s="106"/>
      <c r="G11" s="106"/>
      <c r="H11" s="106"/>
      <c r="I11" s="108"/>
      <c r="J11" s="108"/>
      <c r="K11" s="108"/>
      <c r="L11" s="108"/>
      <c r="M11" s="108"/>
      <c r="N11" s="108"/>
      <c r="O11" s="108"/>
      <c r="P11" s="108"/>
    </row>
    <row r="12" spans="1:20">
      <c r="A12" s="106" t="s">
        <v>732</v>
      </c>
      <c r="B12" s="106"/>
      <c r="C12" s="106"/>
      <c r="D12" s="106"/>
      <c r="E12" s="106"/>
      <c r="F12" s="106"/>
      <c r="G12" s="106"/>
      <c r="H12" s="106"/>
      <c r="I12" s="108"/>
      <c r="J12" s="108"/>
      <c r="K12" s="108"/>
      <c r="L12" s="108"/>
      <c r="M12" s="108"/>
      <c r="N12" s="108"/>
      <c r="O12" s="108"/>
      <c r="P12" s="108"/>
    </row>
    <row r="13" spans="1:20" ht="14.25" customHeight="1">
      <c r="A13" s="158" t="s">
        <v>286</v>
      </c>
      <c r="B13" s="159" t="s">
        <v>751</v>
      </c>
      <c r="C13" s="162" t="s">
        <v>752</v>
      </c>
      <c r="D13" s="163"/>
      <c r="E13" s="164" t="s">
        <v>753</v>
      </c>
      <c r="F13" s="165"/>
      <c r="G13" s="164" t="s">
        <v>754</v>
      </c>
      <c r="H13" s="165"/>
      <c r="I13" s="164" t="s">
        <v>755</v>
      </c>
      <c r="J13" s="165"/>
      <c r="K13" s="164" t="s">
        <v>756</v>
      </c>
      <c r="L13" s="165"/>
      <c r="M13" s="164" t="s">
        <v>757</v>
      </c>
      <c r="N13" s="165"/>
      <c r="O13" s="164" t="s">
        <v>758</v>
      </c>
      <c r="P13" s="165"/>
      <c r="Q13" s="164" t="s">
        <v>784</v>
      </c>
      <c r="R13" s="165"/>
      <c r="S13" s="164" t="s">
        <v>785</v>
      </c>
      <c r="T13" s="165"/>
    </row>
    <row r="14" spans="1:20">
      <c r="A14" s="158"/>
      <c r="B14" s="160"/>
      <c r="C14" s="172" t="s">
        <v>718</v>
      </c>
      <c r="D14" s="172" t="s">
        <v>759</v>
      </c>
      <c r="E14" s="155" t="s">
        <v>292</v>
      </c>
      <c r="F14" s="155" t="s">
        <v>759</v>
      </c>
      <c r="G14" s="155" t="s">
        <v>292</v>
      </c>
      <c r="H14" s="155" t="s">
        <v>759</v>
      </c>
      <c r="I14" s="155" t="s">
        <v>292</v>
      </c>
      <c r="J14" s="155" t="s">
        <v>759</v>
      </c>
      <c r="K14" s="155" t="s">
        <v>292</v>
      </c>
      <c r="L14" s="155" t="s">
        <v>759</v>
      </c>
      <c r="M14" s="155" t="s">
        <v>292</v>
      </c>
      <c r="N14" s="155" t="s">
        <v>759</v>
      </c>
      <c r="O14" s="155" t="s">
        <v>292</v>
      </c>
      <c r="P14" s="155" t="s">
        <v>759</v>
      </c>
      <c r="Q14" s="155" t="s">
        <v>292</v>
      </c>
      <c r="R14" s="155" t="s">
        <v>759</v>
      </c>
      <c r="S14" s="155" t="s">
        <v>292</v>
      </c>
      <c r="T14" s="155" t="s">
        <v>759</v>
      </c>
    </row>
    <row r="15" spans="1:20">
      <c r="A15" s="158"/>
      <c r="B15" s="161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</row>
    <row r="16" spans="1:20" ht="29.25" customHeight="1">
      <c r="A16" s="111" t="s">
        <v>760</v>
      </c>
      <c r="B16" s="128" t="str">
        <f>'Plan Geral  C '!D19</f>
        <v xml:space="preserve">SERVIÇOS PRELIMINARES </v>
      </c>
      <c r="C16" s="112">
        <f>'Plan Geral  C '!H19</f>
        <v>14352.201999999999</v>
      </c>
      <c r="D16" s="113">
        <f t="shared" ref="D16:D35" si="0">C16/$C$39</f>
        <v>1.4927290288144317E-2</v>
      </c>
      <c r="E16" s="114">
        <f>C16*F16</f>
        <v>3588.0504999999998</v>
      </c>
      <c r="F16" s="115">
        <v>0.25</v>
      </c>
      <c r="G16" s="114">
        <f>C16*H16</f>
        <v>3588.0504999999998</v>
      </c>
      <c r="H16" s="115">
        <v>0.25</v>
      </c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114">
        <f>C16*T16</f>
        <v>7176.1009999999997</v>
      </c>
      <c r="T16" s="115">
        <v>0.5</v>
      </c>
    </row>
    <row r="17" spans="1:20" ht="27.75" customHeight="1">
      <c r="A17" s="111" t="s">
        <v>761</v>
      </c>
      <c r="B17" s="128" t="str">
        <f>'Plan Geral  C '!D27</f>
        <v xml:space="preserve">MOVIMENTO DE TERRAS </v>
      </c>
      <c r="C17" s="112">
        <f>'Plan Geral  C '!H27</f>
        <v>15891.719099999998</v>
      </c>
      <c r="D17" s="113">
        <f t="shared" si="0"/>
        <v>1.6528495361432867E-2</v>
      </c>
      <c r="E17" s="114">
        <f>$C17*F17</f>
        <v>1589.17191</v>
      </c>
      <c r="F17" s="115">
        <v>0.1</v>
      </c>
      <c r="G17" s="114">
        <f>$C17*H17</f>
        <v>7945.8595499999992</v>
      </c>
      <c r="H17" s="115">
        <v>0.5</v>
      </c>
      <c r="I17" s="114">
        <f>$C17*J17</f>
        <v>3178.3438200000001</v>
      </c>
      <c r="J17" s="115">
        <v>0.2</v>
      </c>
      <c r="K17" s="131"/>
      <c r="L17" s="132"/>
      <c r="M17" s="116"/>
      <c r="N17" s="117"/>
      <c r="O17" s="114">
        <f t="shared" ref="O17" si="1">$C17*P17</f>
        <v>3178.3438200000001</v>
      </c>
      <c r="P17" s="115">
        <v>0.2</v>
      </c>
      <c r="Q17" s="116"/>
      <c r="R17" s="117"/>
      <c r="S17" s="116"/>
      <c r="T17" s="117"/>
    </row>
    <row r="18" spans="1:20" ht="27.75" customHeight="1">
      <c r="A18" s="111" t="s">
        <v>762</v>
      </c>
      <c r="B18" s="128" t="str">
        <f>'Plan Geral  C '!D36</f>
        <v xml:space="preserve">INFRA-ESTRUTURA: FUNDAÇÕES </v>
      </c>
      <c r="C18" s="112">
        <f>'Plan Geral  C '!H36</f>
        <v>92099.330400000006</v>
      </c>
      <c r="D18" s="113">
        <f t="shared" si="0"/>
        <v>9.578972203878644E-2</v>
      </c>
      <c r="E18" s="116"/>
      <c r="F18" s="117"/>
      <c r="G18" s="114">
        <f>$C18*H18</f>
        <v>18419.866080000003</v>
      </c>
      <c r="H18" s="115">
        <v>0.2</v>
      </c>
      <c r="I18" s="114">
        <f>$C18*J18</f>
        <v>36839.732160000007</v>
      </c>
      <c r="J18" s="115">
        <v>0.4</v>
      </c>
      <c r="K18" s="114">
        <f t="shared" ref="K18:K24" si="2">$C18*L18</f>
        <v>36839.732160000007</v>
      </c>
      <c r="L18" s="115">
        <v>0.4</v>
      </c>
      <c r="M18" s="131"/>
      <c r="N18" s="132"/>
      <c r="O18" s="131"/>
      <c r="P18" s="132"/>
      <c r="Q18" s="131"/>
      <c r="R18" s="132"/>
      <c r="S18" s="131"/>
      <c r="T18" s="132"/>
    </row>
    <row r="19" spans="1:20">
      <c r="A19" s="111" t="s">
        <v>763</v>
      </c>
      <c r="B19" s="128" t="str">
        <f>'Plan Geral  C '!D52</f>
        <v xml:space="preserve">SUPERESTRUTURA </v>
      </c>
      <c r="C19" s="112">
        <f>'Plan Geral  C '!H52</f>
        <v>110864.27433499998</v>
      </c>
      <c r="D19" s="113">
        <f t="shared" si="0"/>
        <v>0.11530657146429604</v>
      </c>
      <c r="E19" s="116"/>
      <c r="F19" s="117"/>
      <c r="G19" s="114">
        <f>$C19*H19</f>
        <v>16629.641150249998</v>
      </c>
      <c r="H19" s="115">
        <v>0.15</v>
      </c>
      <c r="I19" s="114">
        <f>$C19*J19</f>
        <v>16629.641150249998</v>
      </c>
      <c r="J19" s="115">
        <v>0.15</v>
      </c>
      <c r="K19" s="114">
        <f t="shared" si="2"/>
        <v>33259.282300499995</v>
      </c>
      <c r="L19" s="115">
        <v>0.3</v>
      </c>
      <c r="M19" s="114">
        <f t="shared" ref="M19:M29" si="3">$C19*N19</f>
        <v>22172.854866999998</v>
      </c>
      <c r="N19" s="115">
        <v>0.2</v>
      </c>
      <c r="O19" s="114">
        <f>$C19*P19</f>
        <v>22172.854866999998</v>
      </c>
      <c r="P19" s="115">
        <v>0.2</v>
      </c>
      <c r="Q19" s="131"/>
      <c r="R19" s="132"/>
      <c r="S19" s="131"/>
      <c r="T19" s="132"/>
    </row>
    <row r="20" spans="1:20">
      <c r="A20" s="111" t="s">
        <v>764</v>
      </c>
      <c r="B20" s="128" t="str">
        <f>'Plan Geral  C '!D72</f>
        <v xml:space="preserve">PAREDES E PAINEIS </v>
      </c>
      <c r="C20" s="112">
        <f>'Plan Geral  C '!H72</f>
        <v>43147.758600000001</v>
      </c>
      <c r="D20" s="113">
        <f t="shared" si="0"/>
        <v>4.4876675920877886E-2</v>
      </c>
      <c r="E20" s="116"/>
      <c r="F20" s="117"/>
      <c r="G20" s="114">
        <f>$C20*H20</f>
        <v>4314.7758600000006</v>
      </c>
      <c r="H20" s="115">
        <v>0.1</v>
      </c>
      <c r="I20" s="114">
        <f>$C20*J20</f>
        <v>17259.103440000003</v>
      </c>
      <c r="J20" s="115">
        <v>0.4</v>
      </c>
      <c r="K20" s="114">
        <f t="shared" si="2"/>
        <v>17259.103440000003</v>
      </c>
      <c r="L20" s="115">
        <v>0.4</v>
      </c>
      <c r="M20" s="114">
        <f t="shared" si="3"/>
        <v>4314.7758600000006</v>
      </c>
      <c r="N20" s="115">
        <v>0.1</v>
      </c>
      <c r="O20" s="116"/>
      <c r="P20" s="117"/>
      <c r="Q20" s="116"/>
      <c r="R20" s="117"/>
      <c r="S20" s="116"/>
      <c r="T20" s="117"/>
    </row>
    <row r="21" spans="1:20">
      <c r="A21" s="111" t="s">
        <v>765</v>
      </c>
      <c r="B21" s="128" t="str">
        <f>'Plan Geral  C '!D83</f>
        <v xml:space="preserve">ESQUADRIAS </v>
      </c>
      <c r="C21" s="112">
        <f>'Plan Geral  C '!H83</f>
        <v>56883.244000000006</v>
      </c>
      <c r="D21" s="113">
        <f t="shared" si="0"/>
        <v>5.9162537965905412E-2</v>
      </c>
      <c r="E21" s="116"/>
      <c r="F21" s="117"/>
      <c r="G21" s="116"/>
      <c r="H21" s="117"/>
      <c r="I21" s="131"/>
      <c r="J21" s="132"/>
      <c r="K21" s="114">
        <f>$C21*L21</f>
        <v>11376.648800000003</v>
      </c>
      <c r="L21" s="115">
        <v>0.2</v>
      </c>
      <c r="M21" s="114">
        <f t="shared" si="3"/>
        <v>17064.9732</v>
      </c>
      <c r="N21" s="115">
        <v>0.3</v>
      </c>
      <c r="O21" s="114">
        <f t="shared" ref="O21" si="4">$C21*P21</f>
        <v>14220.811000000002</v>
      </c>
      <c r="P21" s="115">
        <v>0.25</v>
      </c>
      <c r="Q21" s="114">
        <f t="shared" ref="Q21" si="5">$C21*R21</f>
        <v>7110.4055000000008</v>
      </c>
      <c r="R21" s="115">
        <v>0.125</v>
      </c>
      <c r="S21" s="114">
        <f t="shared" ref="S21" si="6">$C21*T21</f>
        <v>7110.4055000000008</v>
      </c>
      <c r="T21" s="115">
        <v>0.125</v>
      </c>
    </row>
    <row r="22" spans="1:20">
      <c r="A22" s="111" t="s">
        <v>766</v>
      </c>
      <c r="B22" s="128" t="str">
        <f>'Plan Geral  C '!D113</f>
        <v xml:space="preserve">COBERTURA </v>
      </c>
      <c r="C22" s="112">
        <f>'Plan Geral  C '!H113</f>
        <v>80241.703099999999</v>
      </c>
      <c r="D22" s="113">
        <f t="shared" si="0"/>
        <v>8.3456963286106883E-2</v>
      </c>
      <c r="E22" s="116"/>
      <c r="F22" s="117"/>
      <c r="G22" s="116"/>
      <c r="H22" s="117"/>
      <c r="I22" s="116"/>
      <c r="J22" s="117"/>
      <c r="K22" s="114">
        <f t="shared" si="2"/>
        <v>16048.340620000001</v>
      </c>
      <c r="L22" s="115">
        <v>0.2</v>
      </c>
      <c r="M22" s="114">
        <f t="shared" si="3"/>
        <v>32096.681240000002</v>
      </c>
      <c r="N22" s="115">
        <v>0.4</v>
      </c>
      <c r="O22" s="114">
        <f t="shared" ref="O22" si="7">$C22*P22</f>
        <v>32096.681240000002</v>
      </c>
      <c r="P22" s="115">
        <v>0.4</v>
      </c>
      <c r="Q22" s="131"/>
      <c r="R22" s="132"/>
      <c r="S22" s="116"/>
      <c r="T22" s="117"/>
    </row>
    <row r="23" spans="1:20" ht="22.5">
      <c r="A23" s="111" t="s">
        <v>767</v>
      </c>
      <c r="B23" s="128" t="str">
        <f>'Plan Geral  C '!D119</f>
        <v xml:space="preserve">IMPERMEABILIZAÇÀO </v>
      </c>
      <c r="C23" s="112">
        <f>'Plan Geral  C '!H119</f>
        <v>8956.5046000000002</v>
      </c>
      <c r="D23" s="113">
        <f t="shared" si="0"/>
        <v>9.3153889647943858E-3</v>
      </c>
      <c r="E23" s="116"/>
      <c r="F23" s="117"/>
      <c r="G23" s="116"/>
      <c r="H23" s="117"/>
      <c r="I23" s="114">
        <f>$C23*J23</f>
        <v>1791.3009200000001</v>
      </c>
      <c r="J23" s="115">
        <v>0.2</v>
      </c>
      <c r="K23" s="114">
        <f t="shared" si="2"/>
        <v>5373.9027599999999</v>
      </c>
      <c r="L23" s="115">
        <v>0.6</v>
      </c>
      <c r="M23" s="114">
        <f t="shared" si="3"/>
        <v>1791.3009200000001</v>
      </c>
      <c r="N23" s="115">
        <v>0.2</v>
      </c>
      <c r="O23" s="116"/>
      <c r="P23" s="117"/>
      <c r="Q23" s="116"/>
      <c r="R23" s="117"/>
      <c r="S23" s="116"/>
      <c r="T23" s="117"/>
    </row>
    <row r="24" spans="1:20">
      <c r="A24" s="111" t="s">
        <v>768</v>
      </c>
      <c r="B24" s="128" t="str">
        <f>'Plan Geral  C '!D124</f>
        <v xml:space="preserve">REVESTIMENTOS </v>
      </c>
      <c r="C24" s="112">
        <f>'Plan Geral  C '!H124</f>
        <v>70312.179799999998</v>
      </c>
      <c r="D24" s="113">
        <f t="shared" si="0"/>
        <v>7.3129567063423231E-2</v>
      </c>
      <c r="E24" s="116"/>
      <c r="F24" s="117"/>
      <c r="G24" s="116"/>
      <c r="H24" s="117"/>
      <c r="I24" s="116"/>
      <c r="J24" s="117"/>
      <c r="K24" s="114">
        <f t="shared" si="2"/>
        <v>28124.871920000001</v>
      </c>
      <c r="L24" s="115">
        <v>0.4</v>
      </c>
      <c r="M24" s="114">
        <f t="shared" si="3"/>
        <v>28124.871920000001</v>
      </c>
      <c r="N24" s="115">
        <v>0.4</v>
      </c>
      <c r="O24" s="114">
        <f t="shared" ref="O24:O25" si="8">$C24*P24</f>
        <v>14062.435960000001</v>
      </c>
      <c r="P24" s="115">
        <v>0.2</v>
      </c>
      <c r="Q24" s="116"/>
      <c r="R24" s="117"/>
      <c r="S24" s="116"/>
      <c r="T24" s="117"/>
    </row>
    <row r="25" spans="1:20">
      <c r="A25" s="111" t="s">
        <v>769</v>
      </c>
      <c r="B25" s="128" t="str">
        <f>'Plan Geral  C '!D134</f>
        <v xml:space="preserve">PAVIMENTAÇÃO </v>
      </c>
      <c r="C25" s="112">
        <f>'Plan Geral  C '!H134</f>
        <v>58399.475300000006</v>
      </c>
      <c r="D25" s="113">
        <f t="shared" si="0"/>
        <v>6.0739524184401393E-2</v>
      </c>
      <c r="E25" s="116"/>
      <c r="F25" s="117"/>
      <c r="G25" s="116"/>
      <c r="H25" s="117"/>
      <c r="I25" s="116"/>
      <c r="J25" s="117"/>
      <c r="K25" s="116"/>
      <c r="L25" s="117"/>
      <c r="M25" s="131"/>
      <c r="N25" s="132"/>
      <c r="O25" s="114">
        <f t="shared" si="8"/>
        <v>29199.737650000003</v>
      </c>
      <c r="P25" s="115">
        <v>0.5</v>
      </c>
      <c r="Q25" s="114">
        <f t="shared" ref="Q25" si="9">$C25*R25</f>
        <v>14599.868825000001</v>
      </c>
      <c r="R25" s="115">
        <v>0.25</v>
      </c>
      <c r="S25" s="114">
        <f t="shared" ref="S25" si="10">$C25*T25</f>
        <v>14599.868825000001</v>
      </c>
      <c r="T25" s="115">
        <v>0.25</v>
      </c>
    </row>
    <row r="26" spans="1:20" ht="22.5">
      <c r="A26" s="111" t="s">
        <v>770</v>
      </c>
      <c r="B26" s="128" t="str">
        <f>'Plan Geral  C '!D148</f>
        <v xml:space="preserve">RODAPÉS E PEITORIS </v>
      </c>
      <c r="C26" s="112">
        <f>'Plan Geral  C '!H148</f>
        <v>10234.897000000001</v>
      </c>
      <c r="D26" s="113">
        <f t="shared" si="0"/>
        <v>1.0645006152244611E-2</v>
      </c>
      <c r="E26" s="116"/>
      <c r="F26" s="117"/>
      <c r="G26" s="116"/>
      <c r="H26" s="117"/>
      <c r="I26" s="116"/>
      <c r="J26" s="117"/>
      <c r="K26" s="116"/>
      <c r="L26" s="117"/>
      <c r="M26" s="131"/>
      <c r="N26" s="132"/>
      <c r="O26" s="114">
        <f t="shared" ref="O26:O31" si="11">$C26*P26</f>
        <v>5117.4485000000004</v>
      </c>
      <c r="P26" s="115">
        <v>0.5</v>
      </c>
      <c r="Q26" s="114">
        <f t="shared" ref="Q26:Q32" si="12">$C26*R26</f>
        <v>5117.4485000000004</v>
      </c>
      <c r="R26" s="115">
        <v>0.5</v>
      </c>
      <c r="S26" s="131"/>
      <c r="T26" s="132"/>
    </row>
    <row r="27" spans="1:20">
      <c r="A27" s="111" t="s">
        <v>771</v>
      </c>
      <c r="B27" s="128" t="str">
        <f>'Plan Geral  C '!D157</f>
        <v xml:space="preserve">PINTURA </v>
      </c>
      <c r="C27" s="112">
        <f>'Plan Geral  C '!H157</f>
        <v>23368.701400000002</v>
      </c>
      <c r="D27" s="113">
        <f t="shared" si="0"/>
        <v>2.4305078025989638E-2</v>
      </c>
      <c r="E27" s="131"/>
      <c r="F27" s="132"/>
      <c r="G27" s="131"/>
      <c r="H27" s="132"/>
      <c r="I27" s="114">
        <f>$C27*J27</f>
        <v>3894.783566666667</v>
      </c>
      <c r="J27" s="115">
        <f>1/6</f>
        <v>0.16666666666666666</v>
      </c>
      <c r="K27" s="114">
        <f>$C27*L27</f>
        <v>3894.783566666667</v>
      </c>
      <c r="L27" s="115">
        <f>1/6</f>
        <v>0.16666666666666666</v>
      </c>
      <c r="M27" s="114">
        <f t="shared" si="3"/>
        <v>3894.783566666667</v>
      </c>
      <c r="N27" s="115">
        <f>1/6</f>
        <v>0.16666666666666666</v>
      </c>
      <c r="O27" s="114">
        <f t="shared" si="11"/>
        <v>3894.783566666667</v>
      </c>
      <c r="P27" s="115">
        <f>1/6</f>
        <v>0.16666666666666666</v>
      </c>
      <c r="Q27" s="114">
        <f t="shared" si="12"/>
        <v>3894.783566666667</v>
      </c>
      <c r="R27" s="115">
        <f>1/6</f>
        <v>0.16666666666666666</v>
      </c>
      <c r="S27" s="114">
        <f t="shared" ref="S27:S31" si="13">$C27*T27</f>
        <v>3894.783566666667</v>
      </c>
      <c r="T27" s="115">
        <f>1/6</f>
        <v>0.16666666666666666</v>
      </c>
    </row>
    <row r="28" spans="1:20" ht="45">
      <c r="A28" s="111" t="s">
        <v>772</v>
      </c>
      <c r="B28" s="128" t="str">
        <f>'Plan Geral  C '!D165</f>
        <v>INSTALAÇÃO ELÉTRICA E ELETRÔNICA 127/220V</v>
      </c>
      <c r="C28" s="112">
        <f>'Plan Geral  C '!H165</f>
        <v>67296.728000000003</v>
      </c>
      <c r="D28" s="113">
        <f t="shared" si="0"/>
        <v>6.9993287043917704E-2</v>
      </c>
      <c r="E28" s="116"/>
      <c r="F28" s="117"/>
      <c r="G28" s="116"/>
      <c r="H28" s="117"/>
      <c r="I28" s="116"/>
      <c r="J28" s="117"/>
      <c r="K28" s="116"/>
      <c r="L28" s="117"/>
      <c r="M28" s="114">
        <f t="shared" si="3"/>
        <v>20189.018400000001</v>
      </c>
      <c r="N28" s="115">
        <v>0.3</v>
      </c>
      <c r="O28" s="114">
        <f t="shared" si="11"/>
        <v>23553.854800000001</v>
      </c>
      <c r="P28" s="115">
        <v>0.35</v>
      </c>
      <c r="Q28" s="114">
        <f t="shared" si="12"/>
        <v>11776.9274</v>
      </c>
      <c r="R28" s="115">
        <v>0.17499999999999999</v>
      </c>
      <c r="S28" s="114">
        <f t="shared" si="13"/>
        <v>11776.9274</v>
      </c>
      <c r="T28" s="115">
        <v>0.17499999999999999</v>
      </c>
    </row>
    <row r="29" spans="1:20" ht="22.5">
      <c r="A29" s="111" t="s">
        <v>773</v>
      </c>
      <c r="B29" s="128" t="str">
        <f>'Plan Geral  C '!D266</f>
        <v xml:space="preserve">INSTALAÇÃO HIDRÁULICA </v>
      </c>
      <c r="C29" s="112">
        <f>'Plan Geral  C '!H266</f>
        <v>84369.790000000023</v>
      </c>
      <c r="D29" s="113">
        <f t="shared" si="0"/>
        <v>8.7750461349399622E-2</v>
      </c>
      <c r="E29" s="114">
        <f>$C29*F29</f>
        <v>8436.979000000003</v>
      </c>
      <c r="F29" s="115">
        <v>0.1</v>
      </c>
      <c r="G29" s="114">
        <f>$C29*H29</f>
        <v>16873.958000000006</v>
      </c>
      <c r="H29" s="115">
        <v>0.2</v>
      </c>
      <c r="I29" s="114">
        <f>$C29*J29</f>
        <v>16873.958000000006</v>
      </c>
      <c r="J29" s="115">
        <v>0.2</v>
      </c>
      <c r="K29" s="114">
        <f>$C29*L29</f>
        <v>8436.979000000003</v>
      </c>
      <c r="L29" s="115">
        <v>0.1</v>
      </c>
      <c r="M29" s="114">
        <f t="shared" si="3"/>
        <v>8436.979000000003</v>
      </c>
      <c r="N29" s="115">
        <v>0.1</v>
      </c>
      <c r="O29" s="131"/>
      <c r="P29" s="132"/>
      <c r="Q29" s="131"/>
      <c r="R29" s="132"/>
      <c r="S29" s="114">
        <f t="shared" ref="S29" si="14">$C29*T29</f>
        <v>25310.937000000005</v>
      </c>
      <c r="T29" s="115">
        <v>0.3</v>
      </c>
    </row>
    <row r="30" spans="1:20" ht="22.5">
      <c r="A30" s="111" t="s">
        <v>774</v>
      </c>
      <c r="B30" s="128" t="str">
        <f>'Plan Geral  C '!D310</f>
        <v xml:space="preserve">INSTALAÇÃO SANITÁRIA </v>
      </c>
      <c r="C30" s="112">
        <f>'Plan Geral  C '!H310</f>
        <v>19582.609999999997</v>
      </c>
      <c r="D30" s="113">
        <f t="shared" si="0"/>
        <v>2.0367279116439256E-2</v>
      </c>
      <c r="E30" s="116"/>
      <c r="F30" s="117"/>
      <c r="G30" s="114">
        <f>$C30*H30</f>
        <v>5874.7829999999985</v>
      </c>
      <c r="H30" s="115">
        <v>0.3</v>
      </c>
      <c r="I30" s="114">
        <f>$C30*J30</f>
        <v>3916.5219999999995</v>
      </c>
      <c r="J30" s="115">
        <v>0.2</v>
      </c>
      <c r="K30" s="114">
        <f>$C30*L30</f>
        <v>1958.2609999999997</v>
      </c>
      <c r="L30" s="115">
        <v>0.1</v>
      </c>
      <c r="M30" s="114">
        <f t="shared" ref="M30:M31" si="15">$C30*N30</f>
        <v>1958.2609999999997</v>
      </c>
      <c r="N30" s="115">
        <v>0.1</v>
      </c>
      <c r="O30" s="114">
        <f t="shared" ref="O30" si="16">$C30*P30</f>
        <v>1958.2609999999997</v>
      </c>
      <c r="P30" s="115">
        <v>0.1</v>
      </c>
      <c r="Q30" s="114">
        <f t="shared" ref="Q30" si="17">$C30*R30</f>
        <v>3916.5219999999995</v>
      </c>
      <c r="R30" s="115">
        <v>0.2</v>
      </c>
      <c r="S30" s="131"/>
      <c r="T30" s="132"/>
    </row>
    <row r="31" spans="1:20">
      <c r="A31" s="111" t="s">
        <v>775</v>
      </c>
      <c r="B31" s="128" t="str">
        <f>'Plan Geral  C '!D328</f>
        <v xml:space="preserve">LOUÇAS E METAIS </v>
      </c>
      <c r="C31" s="112">
        <f>'Plan Geral  C '!H328</f>
        <v>18445.71</v>
      </c>
      <c r="D31" s="113">
        <f t="shared" si="0"/>
        <v>1.9184823885625809E-2</v>
      </c>
      <c r="E31" s="116"/>
      <c r="F31" s="117"/>
      <c r="G31" s="116"/>
      <c r="H31" s="117"/>
      <c r="I31" s="116"/>
      <c r="J31" s="117"/>
      <c r="K31" s="131"/>
      <c r="L31" s="132"/>
      <c r="M31" s="114">
        <f t="shared" si="15"/>
        <v>5533.7129999999997</v>
      </c>
      <c r="N31" s="115">
        <v>0.3</v>
      </c>
      <c r="O31" s="114">
        <f t="shared" si="11"/>
        <v>2766.8564999999999</v>
      </c>
      <c r="P31" s="115">
        <v>0.15</v>
      </c>
      <c r="Q31" s="114">
        <f t="shared" si="12"/>
        <v>2766.8564999999999</v>
      </c>
      <c r="R31" s="115">
        <v>0.15</v>
      </c>
      <c r="S31" s="114">
        <f t="shared" si="13"/>
        <v>7378.2839999999997</v>
      </c>
      <c r="T31" s="115">
        <v>0.4</v>
      </c>
    </row>
    <row r="32" spans="1:20" ht="23.25" customHeight="1">
      <c r="A32" s="111" t="s">
        <v>776</v>
      </c>
      <c r="B32" s="128" t="str">
        <f>'Plan Geral  C '!D356</f>
        <v xml:space="preserve">BANCADAS </v>
      </c>
      <c r="C32" s="112">
        <f>'Plan Geral  C '!H356</f>
        <v>12869.137192999999</v>
      </c>
      <c r="D32" s="113">
        <f t="shared" si="0"/>
        <v>1.3384799533748598E-2</v>
      </c>
      <c r="E32" s="116"/>
      <c r="F32" s="117"/>
      <c r="G32" s="116"/>
      <c r="H32" s="117"/>
      <c r="I32" s="116"/>
      <c r="J32" s="117"/>
      <c r="K32" s="131"/>
      <c r="L32" s="132"/>
      <c r="M32" s="114">
        <f t="shared" ref="M32:M33" si="18">$C32*N32</f>
        <v>6434.5685964999993</v>
      </c>
      <c r="N32" s="115">
        <v>0.5</v>
      </c>
      <c r="O32" s="114">
        <f t="shared" ref="O32" si="19">$C32*P32</f>
        <v>3217.2842982499997</v>
      </c>
      <c r="P32" s="115">
        <v>0.25</v>
      </c>
      <c r="Q32" s="114">
        <f t="shared" si="12"/>
        <v>3217.2842982499997</v>
      </c>
      <c r="R32" s="115">
        <v>0.25</v>
      </c>
      <c r="S32" s="131"/>
      <c r="T32" s="132"/>
    </row>
    <row r="33" spans="1:21" ht="22.5">
      <c r="A33" s="111" t="s">
        <v>777</v>
      </c>
      <c r="B33" s="128" t="str">
        <f>'Plan Geral  C '!D362</f>
        <v>INSTALAÇÃO DE GÁS - GLP</v>
      </c>
      <c r="C33" s="112">
        <f>'Plan Geral  C '!H362</f>
        <v>3013.14</v>
      </c>
      <c r="D33" s="113">
        <f t="shared" si="0"/>
        <v>3.1338755863956741E-3</v>
      </c>
      <c r="E33" s="116"/>
      <c r="F33" s="117"/>
      <c r="G33" s="114">
        <f t="shared" ref="G33" si="20">$C33*H33</f>
        <v>903.94199999999989</v>
      </c>
      <c r="H33" s="115">
        <v>0.3</v>
      </c>
      <c r="I33" s="116"/>
      <c r="J33" s="117"/>
      <c r="K33" s="131"/>
      <c r="L33" s="132"/>
      <c r="M33" s="114">
        <f t="shared" si="18"/>
        <v>1054.5989999999999</v>
      </c>
      <c r="N33" s="115">
        <v>0.35</v>
      </c>
      <c r="O33" s="114">
        <f t="shared" ref="O33" si="21">$C33*P33</f>
        <v>1054.5989999999999</v>
      </c>
      <c r="P33" s="115">
        <v>0.35</v>
      </c>
      <c r="Q33" s="131"/>
      <c r="R33" s="132"/>
      <c r="S33" s="131"/>
      <c r="T33" s="132"/>
    </row>
    <row r="34" spans="1:21" ht="21.75" customHeight="1">
      <c r="A34" s="111" t="s">
        <v>778</v>
      </c>
      <c r="B34" s="128" t="str">
        <f>'Plan Geral  C '!D373</f>
        <v>PROTEÇÃO CONTRA INCÊNDIO E PÂNICO- EXTINTORES</v>
      </c>
      <c r="C34" s="112">
        <f>'Plan Geral  C '!H373</f>
        <v>1636.28</v>
      </c>
      <c r="D34" s="113">
        <f t="shared" si="0"/>
        <v>1.7018452327165394E-3</v>
      </c>
      <c r="E34" s="116"/>
      <c r="F34" s="117"/>
      <c r="G34" s="114">
        <f t="shared" ref="G34" si="22">$C34*H34</f>
        <v>490.88399999999996</v>
      </c>
      <c r="H34" s="115">
        <v>0.3</v>
      </c>
      <c r="I34" s="114">
        <f t="shared" ref="I34" si="23">$C34*J34</f>
        <v>245.44199999999998</v>
      </c>
      <c r="J34" s="115">
        <v>0.15</v>
      </c>
      <c r="K34" s="114">
        <f t="shared" ref="K34" si="24">$C34*L34</f>
        <v>245.44199999999998</v>
      </c>
      <c r="L34" s="115">
        <v>0.15</v>
      </c>
      <c r="M34" s="131"/>
      <c r="N34" s="132"/>
      <c r="O34" s="131"/>
      <c r="P34" s="132"/>
      <c r="Q34" s="131"/>
      <c r="R34" s="132"/>
      <c r="S34" s="114">
        <f t="shared" ref="S34" si="25">$C34*T34</f>
        <v>654.51200000000006</v>
      </c>
      <c r="T34" s="115">
        <v>0.4</v>
      </c>
    </row>
    <row r="35" spans="1:21" ht="21.75" customHeight="1">
      <c r="A35" s="111" t="s">
        <v>786</v>
      </c>
      <c r="B35" s="128" t="str">
        <f>'Plan Geral  C '!D385</f>
        <v>ÁREAS EXTERNAS</v>
      </c>
      <c r="C35" s="112">
        <f>'Plan Geral  C '!H385</f>
        <v>87671.382899999982</v>
      </c>
      <c r="D35" s="113">
        <f t="shared" si="0"/>
        <v>9.1184348054141898E-2</v>
      </c>
      <c r="E35" s="116"/>
      <c r="F35" s="117"/>
      <c r="G35" s="116"/>
      <c r="H35" s="117"/>
      <c r="I35" s="116"/>
      <c r="J35" s="117"/>
      <c r="K35" s="131"/>
      <c r="L35" s="132"/>
      <c r="M35" s="131"/>
      <c r="N35" s="132"/>
      <c r="O35" s="114">
        <f t="shared" ref="O35" si="26">$C35*P35</f>
        <v>21917.845724999996</v>
      </c>
      <c r="P35" s="115">
        <v>0.25</v>
      </c>
      <c r="Q35" s="114">
        <f t="shared" ref="Q35" si="27">$C35*R35</f>
        <v>21917.845724999996</v>
      </c>
      <c r="R35" s="115">
        <v>0.25</v>
      </c>
      <c r="S35" s="114">
        <f t="shared" ref="S35:S36" si="28">$C35*T35</f>
        <v>43835.691449999991</v>
      </c>
      <c r="T35" s="115">
        <v>0.5</v>
      </c>
    </row>
    <row r="36" spans="1:21" ht="21.75" customHeight="1">
      <c r="A36" s="111" t="s">
        <v>787</v>
      </c>
      <c r="B36" s="128" t="str">
        <f>'Plan Geral  C '!D409</f>
        <v>SERVIÇOS DIVERSOS</v>
      </c>
      <c r="C36" s="112">
        <f>'Plan Geral  C '!H409</f>
        <v>6923.71</v>
      </c>
      <c r="D36" s="113">
        <f t="shared" ref="D36:D38" si="29">C36/$C$39</f>
        <v>7.2011409148873247E-3</v>
      </c>
      <c r="E36" s="116"/>
      <c r="F36" s="117"/>
      <c r="G36" s="116"/>
      <c r="H36" s="117"/>
      <c r="I36" s="116"/>
      <c r="J36" s="117"/>
      <c r="K36" s="131"/>
      <c r="L36" s="132"/>
      <c r="M36" s="131"/>
      <c r="N36" s="132"/>
      <c r="O36" s="131"/>
      <c r="P36" s="132"/>
      <c r="Q36" s="131"/>
      <c r="R36" s="132"/>
      <c r="S36" s="114">
        <f t="shared" si="28"/>
        <v>6923.71</v>
      </c>
      <c r="T36" s="115">
        <v>1</v>
      </c>
    </row>
    <row r="37" spans="1:21" ht="21.75" customHeight="1">
      <c r="A37" s="111" t="s">
        <v>788</v>
      </c>
      <c r="B37" s="128" t="str">
        <f>'Plan Geral  C '!D419</f>
        <v>ADMINISTRAÇÃO LOCAL E CANTEIRO DE OBRAS</v>
      </c>
      <c r="C37" s="112">
        <f>'Plan Geral  C '!H419</f>
        <v>74048.214000000007</v>
      </c>
      <c r="D37" s="113">
        <f t="shared" si="29"/>
        <v>7.7015302996476229E-2</v>
      </c>
      <c r="E37" s="114">
        <f>$C37*F37</f>
        <v>9256.0267500000009</v>
      </c>
      <c r="F37" s="115">
        <v>0.125</v>
      </c>
      <c r="G37" s="114">
        <f>$C37*H37</f>
        <v>9256.0267500000009</v>
      </c>
      <c r="H37" s="115">
        <v>0.125</v>
      </c>
      <c r="I37" s="114">
        <f>$C37*J37</f>
        <v>9256.0267500000009</v>
      </c>
      <c r="J37" s="115">
        <v>0.125</v>
      </c>
      <c r="K37" s="114">
        <f>$C37*L37</f>
        <v>9256.0267500000009</v>
      </c>
      <c r="L37" s="115">
        <v>0.125</v>
      </c>
      <c r="M37" s="114">
        <f t="shared" ref="M37" si="30">$C37*N37</f>
        <v>9256.0267500000009</v>
      </c>
      <c r="N37" s="115">
        <v>0.125</v>
      </c>
      <c r="O37" s="114">
        <f t="shared" ref="O37" si="31">$C37*P37</f>
        <v>9256.0267500000009</v>
      </c>
      <c r="P37" s="115">
        <v>0.125</v>
      </c>
      <c r="Q37" s="114">
        <f t="shared" ref="Q37" si="32">$C37*R37</f>
        <v>9256.0267500000009</v>
      </c>
      <c r="R37" s="115">
        <v>0.125</v>
      </c>
      <c r="S37" s="114">
        <f t="shared" ref="S37:S38" si="33">$C37*T37</f>
        <v>9256.0267500000009</v>
      </c>
      <c r="T37" s="115">
        <v>0.125</v>
      </c>
    </row>
    <row r="38" spans="1:21" ht="21.75" customHeight="1" thickBot="1">
      <c r="A38" s="111" t="s">
        <v>789</v>
      </c>
      <c r="B38" s="128" t="str">
        <f>'Plan Geral  C '!D429</f>
        <v>SERVIÇOS FINAIS</v>
      </c>
      <c r="C38" s="112">
        <f>'Plan Geral  C '!H429</f>
        <v>865.34159999999997</v>
      </c>
      <c r="D38" s="113">
        <f t="shared" si="29"/>
        <v>9.0001556984825495E-4</v>
      </c>
      <c r="E38" s="116"/>
      <c r="F38" s="117"/>
      <c r="G38" s="116"/>
      <c r="H38" s="117"/>
      <c r="I38" s="116"/>
      <c r="J38" s="117"/>
      <c r="K38" s="131"/>
      <c r="L38" s="132"/>
      <c r="M38" s="131"/>
      <c r="N38" s="132"/>
      <c r="O38" s="131"/>
      <c r="P38" s="132"/>
      <c r="Q38" s="131"/>
      <c r="R38" s="132"/>
      <c r="S38" s="114">
        <f t="shared" si="33"/>
        <v>865.34159999999997</v>
      </c>
      <c r="T38" s="115">
        <v>1</v>
      </c>
    </row>
    <row r="39" spans="1:21" ht="15" thickTop="1">
      <c r="A39" s="118"/>
      <c r="B39" s="119"/>
      <c r="C39" s="120">
        <f>SUM(C16:C38)</f>
        <v>961474.03332799999</v>
      </c>
      <c r="D39" s="121">
        <f>SUM(D16:D38)</f>
        <v>1</v>
      </c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1">
      <c r="A40" s="151"/>
      <c r="B40" s="152"/>
      <c r="C40" s="166" t="s">
        <v>779</v>
      </c>
      <c r="D40" s="167"/>
      <c r="E40" s="123">
        <f>SUM(E16:E38)</f>
        <v>22870.228160000006</v>
      </c>
      <c r="F40" s="124">
        <f>SUMPRODUCT($D16:$D38,F16:F38)</f>
        <v>2.3786631117678855E-2</v>
      </c>
      <c r="G40" s="123">
        <f>SUM(G16:G38)</f>
        <v>84297.786890250005</v>
      </c>
      <c r="H40" s="124">
        <f>SUMPRODUCT($D16:$D38,H16:H38)</f>
        <v>8.7675573097346873E-2</v>
      </c>
      <c r="I40" s="123">
        <f>SUM(I16:I38)</f>
        <v>109884.85380691668</v>
      </c>
      <c r="J40" s="124">
        <f>SUMPRODUCT($D16:$D38,J16:J38)</f>
        <v>0.11428790585905531</v>
      </c>
      <c r="K40" s="123">
        <f>SUM(K16:K38)</f>
        <v>172073.37431716669</v>
      </c>
      <c r="L40" s="124">
        <f>SUMPRODUCT($D16:$D38,L16:L38)</f>
        <v>0.17896830112151874</v>
      </c>
      <c r="M40" s="123">
        <f>SUM(M16:M38)</f>
        <v>162323.40732016665</v>
      </c>
      <c r="N40" s="124">
        <f>SUMPRODUCT($D16:$D38,N16:N38)</f>
        <v>0.16882765596727373</v>
      </c>
      <c r="O40" s="123">
        <f>SUM(O16:O38)</f>
        <v>187667.82467691664</v>
      </c>
      <c r="P40" s="124">
        <f>SUMPRODUCT($D16:$D38,P16:P38)</f>
        <v>0.19518761627636713</v>
      </c>
      <c r="Q40" s="123">
        <f>SUM(Q16:Q38)</f>
        <v>83573.969064916673</v>
      </c>
      <c r="R40" s="124">
        <f>SUMPRODUCT($D16:$D38,R16:R38)</f>
        <v>8.6922752115975235E-2</v>
      </c>
      <c r="S40" s="123">
        <f>SUM(S16:S38)</f>
        <v>138782.58909166668</v>
      </c>
      <c r="T40" s="124">
        <f>SUMPRODUCT($D16:$D38,T16:T38)</f>
        <v>0.14434356444478411</v>
      </c>
    </row>
    <row r="41" spans="1:21">
      <c r="A41" s="153"/>
      <c r="B41" s="154"/>
      <c r="C41" s="166" t="s">
        <v>780</v>
      </c>
      <c r="D41" s="167"/>
      <c r="E41" s="123">
        <f>E40</f>
        <v>22870.228160000006</v>
      </c>
      <c r="F41" s="124">
        <f>F40</f>
        <v>2.3786631117678855E-2</v>
      </c>
      <c r="G41" s="123">
        <f t="shared" ref="G41:P41" si="34">E41+G40</f>
        <v>107168.01505025002</v>
      </c>
      <c r="H41" s="124">
        <f t="shared" si="34"/>
        <v>0.11146220421502573</v>
      </c>
      <c r="I41" s="123">
        <f t="shared" si="34"/>
        <v>217052.8688571667</v>
      </c>
      <c r="J41" s="124">
        <f t="shared" si="34"/>
        <v>0.22575011007408102</v>
      </c>
      <c r="K41" s="123">
        <f t="shared" si="34"/>
        <v>389126.24317433336</v>
      </c>
      <c r="L41" s="124">
        <f t="shared" si="34"/>
        <v>0.40471841119559976</v>
      </c>
      <c r="M41" s="123">
        <f t="shared" si="34"/>
        <v>551449.65049450006</v>
      </c>
      <c r="N41" s="124">
        <f t="shared" si="34"/>
        <v>0.57354606716287349</v>
      </c>
      <c r="O41" s="123">
        <f t="shared" si="34"/>
        <v>739117.47517141677</v>
      </c>
      <c r="P41" s="124">
        <f t="shared" si="34"/>
        <v>0.76873368343924064</v>
      </c>
      <c r="Q41" s="123">
        <f t="shared" ref="Q41" si="35">O41+Q40</f>
        <v>822691.44423633348</v>
      </c>
      <c r="R41" s="124">
        <f t="shared" ref="R41" si="36">P41+R40</f>
        <v>0.85565643555521587</v>
      </c>
      <c r="S41" s="123">
        <f t="shared" ref="S41" si="37">Q41+S40</f>
        <v>961474.03332800022</v>
      </c>
      <c r="T41" s="124">
        <f t="shared" ref="T41" si="38">R41+T40</f>
        <v>1</v>
      </c>
      <c r="U41" s="133"/>
    </row>
    <row r="42" spans="1:21" ht="23.25" customHeight="1">
      <c r="A42" s="125"/>
      <c r="B42" s="126" t="s">
        <v>781</v>
      </c>
      <c r="C42" s="168" t="s">
        <v>782</v>
      </c>
      <c r="D42" s="169"/>
      <c r="E42" s="123">
        <f>SUM(E16:E38)*(1+$B$43)</f>
        <v>28379.666123744006</v>
      </c>
      <c r="F42" s="124">
        <f>SUMPRODUCT(D16:D38,F16:F38)</f>
        <v>2.3786631117678855E-2</v>
      </c>
      <c r="G42" s="123">
        <f>SUM(G16:G38)*(1+$B$43)</f>
        <v>104605.12375211122</v>
      </c>
      <c r="H42" s="124">
        <f>SUMPRODUCT(D16:D38,H16:H38)</f>
        <v>8.7675573097346873E-2</v>
      </c>
      <c r="I42" s="123">
        <f>SUM(I16:I38)*(1+$B$43)</f>
        <v>136356.11508900291</v>
      </c>
      <c r="J42" s="124">
        <f>SUMPRODUCT(D16:D38,J16:J38)</f>
        <v>0.11428790585905531</v>
      </c>
      <c r="K42" s="123">
        <f>SUM(K16:K38)*(1+$B$43)</f>
        <v>213525.85019017212</v>
      </c>
      <c r="L42" s="124">
        <f>SUMPRODUCT(D16:D38,L16:L38)</f>
        <v>0.17896830112151874</v>
      </c>
      <c r="M42" s="123">
        <f>SUM(M16:M38)*(1+$B$43)</f>
        <v>201427.11614359479</v>
      </c>
      <c r="N42" s="124">
        <f>SUMPRODUCT(D16:D38,N16:N38)</f>
        <v>0.16882765596727373</v>
      </c>
      <c r="O42" s="123">
        <f>SUM(O16:O38)*(1+$B$43)</f>
        <v>232877.00364158585</v>
      </c>
      <c r="P42" s="124">
        <f>SUMPRODUCT(D16:D38,P16:P38)</f>
        <v>0.19518761627636713</v>
      </c>
      <c r="Q42" s="123">
        <f>SUM(Q16:Q38)*(1+$B$43)</f>
        <v>103706.93821265509</v>
      </c>
      <c r="R42" s="124">
        <f>SUMPRODUCT(D16:D38,R16:R38)</f>
        <v>8.6922752115975235E-2</v>
      </c>
      <c r="S42" s="123">
        <f>SUM(S16:S38)*(1+$B$43)</f>
        <v>172215.31480384918</v>
      </c>
      <c r="T42" s="124">
        <f>SUMPRODUCT(D16:D38,T16:T38)</f>
        <v>0.14434356444478411</v>
      </c>
    </row>
    <row r="43" spans="1:21">
      <c r="A43" s="118"/>
      <c r="B43" s="127">
        <v>0.2409</v>
      </c>
      <c r="C43" s="166" t="s">
        <v>783</v>
      </c>
      <c r="D43" s="167"/>
      <c r="E43" s="123">
        <f>E42</f>
        <v>28379.666123744006</v>
      </c>
      <c r="F43" s="124">
        <f>F42</f>
        <v>2.3786631117678855E-2</v>
      </c>
      <c r="G43" s="123">
        <f t="shared" ref="G43:P43" si="39">E43+G42</f>
        <v>132984.78987585523</v>
      </c>
      <c r="H43" s="124">
        <f t="shared" si="39"/>
        <v>0.11146220421502573</v>
      </c>
      <c r="I43" s="123">
        <f t="shared" si="39"/>
        <v>269340.90496485814</v>
      </c>
      <c r="J43" s="124">
        <f t="shared" si="39"/>
        <v>0.22575011007408102</v>
      </c>
      <c r="K43" s="123">
        <f t="shared" si="39"/>
        <v>482866.75515503029</v>
      </c>
      <c r="L43" s="124">
        <f t="shared" si="39"/>
        <v>0.40471841119559976</v>
      </c>
      <c r="M43" s="123">
        <f t="shared" si="39"/>
        <v>684293.87129862513</v>
      </c>
      <c r="N43" s="124">
        <f t="shared" si="39"/>
        <v>0.57354606716287349</v>
      </c>
      <c r="O43" s="123">
        <f t="shared" si="39"/>
        <v>917170.87494021095</v>
      </c>
      <c r="P43" s="124">
        <f t="shared" si="39"/>
        <v>0.76873368343924064</v>
      </c>
      <c r="Q43" s="123">
        <f t="shared" ref="Q43" si="40">O43+Q42</f>
        <v>1020877.8131528661</v>
      </c>
      <c r="R43" s="124">
        <f t="shared" ref="R43" si="41">P43+R42</f>
        <v>0.85565643555521587</v>
      </c>
      <c r="S43" s="123">
        <f t="shared" ref="S43" si="42">Q43+S42</f>
        <v>1193093.1279567152</v>
      </c>
      <c r="T43" s="124">
        <f t="shared" ref="T43" si="43">R43+T42</f>
        <v>1</v>
      </c>
    </row>
    <row r="45" spans="1:21">
      <c r="H45" s="134"/>
      <c r="I45" s="134"/>
      <c r="J45" s="134"/>
      <c r="K45" s="134"/>
      <c r="L45" s="135"/>
    </row>
    <row r="46" spans="1:21">
      <c r="A46" s="157" t="s">
        <v>803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</row>
  </sheetData>
  <mergeCells count="36">
    <mergeCell ref="C8:T8"/>
    <mergeCell ref="E14:E15"/>
    <mergeCell ref="F14:F15"/>
    <mergeCell ref="G14:G15"/>
    <mergeCell ref="S13:T13"/>
    <mergeCell ref="S14:S15"/>
    <mergeCell ref="T14:T15"/>
    <mergeCell ref="C14:C15"/>
    <mergeCell ref="Q13:R13"/>
    <mergeCell ref="Q14:Q15"/>
    <mergeCell ref="R14:R15"/>
    <mergeCell ref="D14:D15"/>
    <mergeCell ref="K13:L13"/>
    <mergeCell ref="M13:N13"/>
    <mergeCell ref="O13:P13"/>
    <mergeCell ref="A46:T46"/>
    <mergeCell ref="I14:I15"/>
    <mergeCell ref="A13:A15"/>
    <mergeCell ref="B13:B15"/>
    <mergeCell ref="C13:D13"/>
    <mergeCell ref="E13:F13"/>
    <mergeCell ref="G13:H13"/>
    <mergeCell ref="I13:J13"/>
    <mergeCell ref="J14:J15"/>
    <mergeCell ref="H14:H15"/>
    <mergeCell ref="O14:O15"/>
    <mergeCell ref="P14:P15"/>
    <mergeCell ref="C40:D40"/>
    <mergeCell ref="C41:D41"/>
    <mergeCell ref="C42:D42"/>
    <mergeCell ref="C43:D43"/>
    <mergeCell ref="A40:B41"/>
    <mergeCell ref="K14:K15"/>
    <mergeCell ref="L14:L15"/>
    <mergeCell ref="M14:M15"/>
    <mergeCell ref="N14:N15"/>
  </mergeCells>
  <pageMargins left="0.39370078740157483" right="0.39370078740157483" top="0" bottom="0" header="0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 Geral  C </vt:lpstr>
      <vt:lpstr>Cronograma Fisico Financeiro</vt:lpstr>
      <vt:lpstr>'Cronograma Fisico Financeiro'!Area_de_impressao</vt:lpstr>
      <vt:lpstr>'Plan Geral  C '!Area_de_impressao</vt:lpstr>
      <vt:lpstr>'Cronograma Fisico Financeiro'!Titulos_de_impressao</vt:lpstr>
      <vt:lpstr>'Plan Geral  C 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PC</cp:lastModifiedBy>
  <cp:lastPrinted>2013-09-19T19:30:29Z</cp:lastPrinted>
  <dcterms:created xsi:type="dcterms:W3CDTF">2012-10-15T18:57:41Z</dcterms:created>
  <dcterms:modified xsi:type="dcterms:W3CDTF">2013-10-03T18:33:58Z</dcterms:modified>
</cp:coreProperties>
</file>