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22b62ecc920f67f1/02 - SEDI/4. DFC TODOS OS ANOS/7. DFC RELATORIO 2020/"/>
    </mc:Choice>
  </mc:AlternateContent>
  <xr:revisionPtr revIDLastSave="141" documentId="13_ncr:1_{6209E942-32A0-4C88-991C-68348DC99279}" xr6:coauthVersionLast="46" xr6:coauthVersionMax="46" xr10:uidLastSave="{923E6FD6-C3B5-41EE-8E75-D299A837CDA2}"/>
  <bookViews>
    <workbookView xWindow="-120" yWindow="-120" windowWidth="20730" windowHeight="11160" xr2:uid="{00000000-000D-0000-FFFF-FFFF00000000}"/>
  </bookViews>
  <sheets>
    <sheet name="CORRETA" sheetId="2" r:id="rId1"/>
    <sheet name="Plan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2" l="1"/>
  <c r="O15" i="2"/>
  <c r="O16" i="2"/>
  <c r="O41" i="2"/>
  <c r="L11" i="2"/>
  <c r="I61" i="2" l="1"/>
  <c r="J61" i="2"/>
  <c r="K61" i="2"/>
  <c r="L61" i="2"/>
  <c r="M61" i="2"/>
  <c r="N61" i="2"/>
  <c r="O53" i="2"/>
  <c r="O52" i="2"/>
  <c r="O48" i="2"/>
  <c r="O45" i="2"/>
  <c r="O29" i="2"/>
  <c r="O30" i="2"/>
  <c r="O31" i="2"/>
  <c r="O32" i="2"/>
  <c r="O33" i="2"/>
  <c r="O34" i="2"/>
  <c r="O35" i="2"/>
  <c r="O36" i="2"/>
  <c r="O37" i="2"/>
  <c r="O38" i="2"/>
  <c r="O39" i="2"/>
  <c r="O40" i="2"/>
  <c r="O42" i="2"/>
  <c r="O43" i="2"/>
  <c r="O28" i="2"/>
  <c r="I44" i="2"/>
  <c r="J44" i="2"/>
  <c r="J46" i="2" s="1"/>
  <c r="K44" i="2"/>
  <c r="K46" i="2" s="1"/>
  <c r="L44" i="2"/>
  <c r="L46" i="2" s="1"/>
  <c r="M44" i="2"/>
  <c r="M46" i="2" s="1"/>
  <c r="N44" i="2"/>
  <c r="N46" i="2" s="1"/>
  <c r="I26" i="2"/>
  <c r="J26" i="2"/>
  <c r="K26" i="2"/>
  <c r="L26" i="2"/>
  <c r="M26" i="2"/>
  <c r="N26" i="2"/>
  <c r="O24" i="2"/>
  <c r="O25" i="2"/>
  <c r="O23" i="2"/>
  <c r="O20" i="2"/>
  <c r="O17" i="2"/>
  <c r="O18" i="2"/>
  <c r="I19" i="2"/>
  <c r="J19" i="2"/>
  <c r="J21" i="2" s="1"/>
  <c r="K19" i="2"/>
  <c r="K21" i="2" s="1"/>
  <c r="L19" i="2"/>
  <c r="L21" i="2" s="1"/>
  <c r="M19" i="2"/>
  <c r="M21" i="2" s="1"/>
  <c r="N19" i="2"/>
  <c r="N21" i="2" s="1"/>
  <c r="I11" i="2"/>
  <c r="J11" i="2"/>
  <c r="K11" i="2"/>
  <c r="M11" i="2"/>
  <c r="N11" i="2"/>
  <c r="N50" i="2" l="1"/>
  <c r="N62" i="2" s="1"/>
  <c r="M50" i="2"/>
  <c r="M62" i="2" s="1"/>
  <c r="L50" i="2"/>
  <c r="L62" i="2" s="1"/>
  <c r="K50" i="2"/>
  <c r="K62" i="2" s="1"/>
  <c r="O44" i="2"/>
  <c r="O19" i="2"/>
  <c r="J50" i="2"/>
  <c r="J62" i="2" s="1"/>
  <c r="I46" i="2"/>
  <c r="O46" i="2" s="1"/>
  <c r="O26" i="2"/>
  <c r="I21" i="2"/>
  <c r="O21" i="2" s="1"/>
  <c r="C14" i="3"/>
  <c r="C13" i="3"/>
  <c r="C11" i="3"/>
  <c r="C6" i="3"/>
  <c r="C4" i="3"/>
  <c r="C12" i="3"/>
  <c r="C7" i="3"/>
  <c r="C8" i="3"/>
  <c r="C15" i="3"/>
  <c r="H61" i="2"/>
  <c r="I50" i="2" l="1"/>
  <c r="E30" i="2"/>
  <c r="D30" i="2"/>
  <c r="D44" i="2" s="1"/>
  <c r="D46" i="2" s="1"/>
  <c r="C30" i="2"/>
  <c r="C44" i="2" s="1"/>
  <c r="C46" i="2" s="1"/>
  <c r="F37" i="2"/>
  <c r="G61" i="2"/>
  <c r="E26" i="2"/>
  <c r="G11" i="2"/>
  <c r="F61" i="2"/>
  <c r="E61" i="2"/>
  <c r="D61" i="2"/>
  <c r="C61" i="2"/>
  <c r="H44" i="2"/>
  <c r="H46" i="2" s="1"/>
  <c r="G44" i="2"/>
  <c r="G46" i="2" s="1"/>
  <c r="E44" i="2"/>
  <c r="E46" i="2" s="1"/>
  <c r="H26" i="2"/>
  <c r="G26" i="2"/>
  <c r="F26" i="2"/>
  <c r="D26" i="2"/>
  <c r="C26" i="2"/>
  <c r="C21" i="2"/>
  <c r="H19" i="2"/>
  <c r="H21" i="2" s="1"/>
  <c r="G19" i="2"/>
  <c r="G21" i="2" s="1"/>
  <c r="F19" i="2"/>
  <c r="F21" i="2" s="1"/>
  <c r="E19" i="2"/>
  <c r="E21" i="2" s="1"/>
  <c r="D19" i="2"/>
  <c r="H11" i="2"/>
  <c r="F11" i="2"/>
  <c r="E11" i="2"/>
  <c r="D11" i="2"/>
  <c r="C11" i="2"/>
  <c r="I62" i="2" l="1"/>
  <c r="O50" i="2"/>
  <c r="C9" i="3"/>
  <c r="F30" i="2"/>
  <c r="F44" i="2" s="1"/>
  <c r="F46" i="2" s="1"/>
  <c r="F50" i="2" s="1"/>
  <c r="F62" i="2" s="1"/>
  <c r="H50" i="2"/>
  <c r="H62" i="2" s="1"/>
  <c r="E50" i="2"/>
  <c r="E62" i="2" s="1"/>
  <c r="G50" i="2"/>
  <c r="G62" i="2" s="1"/>
  <c r="C50" i="2"/>
  <c r="C62" i="2" s="1"/>
  <c r="D21" i="2"/>
  <c r="D50" i="2" s="1"/>
  <c r="D62" i="2" s="1"/>
  <c r="P31" i="2" l="1"/>
  <c r="P43" i="2" l="1"/>
  <c r="P36" i="2"/>
  <c r="P35" i="2"/>
  <c r="P38" i="2"/>
  <c r="P28" i="2"/>
  <c r="P40" i="2"/>
  <c r="P32" i="2"/>
  <c r="P39" i="2"/>
  <c r="P33" i="2"/>
  <c r="P42" i="2"/>
  <c r="P37" i="2"/>
  <c r="P29" i="2"/>
  <c r="P34" i="2"/>
  <c r="C5" i="3"/>
  <c r="C10" i="3" s="1"/>
  <c r="C16" i="3" s="1"/>
  <c r="P30" i="2"/>
  <c r="P44" i="2" l="1"/>
  <c r="D4" i="3"/>
  <c r="D12" i="3"/>
  <c r="D13" i="3"/>
  <c r="D14" i="3"/>
  <c r="D15" i="3"/>
  <c r="D11" i="3"/>
</calcChain>
</file>

<file path=xl/sharedStrings.xml><?xml version="1.0" encoding="utf-8"?>
<sst xmlns="http://schemas.openxmlformats.org/spreadsheetml/2006/main" count="97" uniqueCount="80">
  <si>
    <t>1. SALDO ANTERIOR EM:</t>
  </si>
  <si>
    <t>TOTAL</t>
  </si>
  <si>
    <t xml:space="preserve">CEF 30733-5 AG 2234 OP 013 POUP </t>
  </si>
  <si>
    <t>CAIXA CENTEDUC FILIAL (Ag: 999 C/C 999)</t>
  </si>
  <si>
    <t>CEF 3146-4 AG 2234 OP 003 MATRIZ</t>
  </si>
  <si>
    <t>1. TOTAL DO SALDO ANTERIOR</t>
  </si>
  <si>
    <t>2. ENTRADAS EM CONTA CORRENTE</t>
  </si>
  <si>
    <t>DESCRIÇÃO</t>
  </si>
  <si>
    <t>JANEIRO</t>
  </si>
  <si>
    <t>FEVEREIRO</t>
  </si>
  <si>
    <t xml:space="preserve">MARÇO </t>
  </si>
  <si>
    <t>ABRIL</t>
  </si>
  <si>
    <t>MAIO</t>
  </si>
  <si>
    <t>JUNHO</t>
  </si>
  <si>
    <t>Repasses Contrato de Gestão</t>
  </si>
  <si>
    <t>Rendimento sobre Aplic Financeiras</t>
  </si>
  <si>
    <t>Recuperação de Despesas</t>
  </si>
  <si>
    <t>Receitas Não Governamentais</t>
  </si>
  <si>
    <t xml:space="preserve">Aporte  para Caixa </t>
  </si>
  <si>
    <t>SUBTOTAL DE ENTRADAS:</t>
  </si>
  <si>
    <t xml:space="preserve">Resgate Aplicação </t>
  </si>
  <si>
    <t>2. TOTAL DE ENTRADAS</t>
  </si>
  <si>
    <t>3. APLICAÇÃO FINANCEIRA</t>
  </si>
  <si>
    <t>ENTRADA CONTA APLICAÇÃO (+)</t>
  </si>
  <si>
    <t>SAÍDAS DA C/A POR RESGATES (-)</t>
  </si>
  <si>
    <t>IRRF/IOF S/APLIC. FINANCEIRA (-)</t>
  </si>
  <si>
    <t>3. RESULTADO (+ ou -)</t>
  </si>
  <si>
    <t>4. GASTOS/Transferência para Aporte de Caixa</t>
  </si>
  <si>
    <t>Investimentos</t>
  </si>
  <si>
    <t>Pessoal</t>
  </si>
  <si>
    <t>Encargos sobre Folha de Pagamento</t>
  </si>
  <si>
    <t>Serviços</t>
  </si>
  <si>
    <t>Materiais</t>
  </si>
  <si>
    <t>Concessionarias (água, luz telefone)</t>
  </si>
  <si>
    <t>Tributos, Taxas e Contribuições</t>
  </si>
  <si>
    <t xml:space="preserve">RPA </t>
  </si>
  <si>
    <t>Rescisões Trabalhistas</t>
  </si>
  <si>
    <t>Aluguel</t>
  </si>
  <si>
    <t xml:space="preserve">Diarias </t>
  </si>
  <si>
    <t>Pensões Alimentícias</t>
  </si>
  <si>
    <t xml:space="preserve">Adiantamentos </t>
  </si>
  <si>
    <t xml:space="preserve">Despesas de viagem </t>
  </si>
  <si>
    <t>SUBTOTAL (GASTOS):</t>
  </si>
  <si>
    <t>Aporte p/ Caixa</t>
  </si>
  <si>
    <t>4. TOTAL DE GASTOS + APORTES</t>
  </si>
  <si>
    <t>5. MOVIMENTAÇÕES RELATIVAS A APLICAÇÃO FINANCEIRA</t>
  </si>
  <si>
    <t>5. TRANSFER. DA C/C PARA C/A</t>
  </si>
  <si>
    <t>6. RESULTADO NO FINAL DO PERÍODO</t>
  </si>
  <si>
    <t>6. SALDO FINAL (1 + 2 + 3 - 4 - 5)</t>
  </si>
  <si>
    <t>7. MOVIMENTAÇÃO FINANCEIRA SEM ALTERAÇÃO NO SALDO BANCÁRIO</t>
  </si>
  <si>
    <t>TEV - Transfer. Entre Contas (+)</t>
  </si>
  <si>
    <t>TEV - Transfer. Entre Contas (-)</t>
  </si>
  <si>
    <t>SALDO BANCÁRIO</t>
  </si>
  <si>
    <t>SALDO TOTAL</t>
  </si>
  <si>
    <t>DIFERENÇA</t>
  </si>
  <si>
    <t>Fonte: Extrato, SIPEF e SIOFI</t>
  </si>
  <si>
    <t>Encargos sobre Folha</t>
  </si>
  <si>
    <t>SUBTOTAL DE GASTOS (PESSOAL):</t>
  </si>
  <si>
    <t>Serviços e Materiais</t>
  </si>
  <si>
    <t>Encargos sobre Rescisões Trabalhistas</t>
  </si>
  <si>
    <t>CEF 3327-0 AG 2234 FUNDO DE INVESTIMENTO</t>
  </si>
  <si>
    <t>CEF 3504-4 AG 2234 FUNDO DE INVESTIMENTO</t>
  </si>
  <si>
    <t>CAIXA CENTEDUC FILIAL</t>
  </si>
  <si>
    <t>QUADRO 3 - DEMONSTRAÇÃO DO FLUXO DE CAIXA SEMESTRAL - DFC - CENTEDUC</t>
  </si>
  <si>
    <t>QUADRO 4 - APLICAÇÃO DOS RECURSOS TRANSFERIDOS</t>
  </si>
  <si>
    <t>RPA</t>
  </si>
  <si>
    <t>Investimento</t>
  </si>
  <si>
    <t>Concessionárias (água/luz/telefone)</t>
  </si>
  <si>
    <t xml:space="preserve">Aluguel, Diárias, Adiantamento </t>
  </si>
  <si>
    <t>TOTAL GERAL:</t>
  </si>
  <si>
    <t>FONTE: Extrato e SIPEF</t>
  </si>
  <si>
    <t>Gastos com Pessoal</t>
  </si>
  <si>
    <t>JULHO</t>
  </si>
  <si>
    <t>AGOSTO</t>
  </si>
  <si>
    <t>SETEMBRO</t>
  </si>
  <si>
    <t>OUTUBRO</t>
  </si>
  <si>
    <t>NOVEMBRO</t>
  </si>
  <si>
    <t>DEZEMBRO</t>
  </si>
  <si>
    <t>CEF 3327-0 AG 2234 OP 003 FILIAL</t>
  </si>
  <si>
    <t>Reembolso de Rateios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</si>
</sst>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%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">
    <xf numFmtId="0" fontId="0" fillId="0" borderId="0" xfId="0"/>
    <xf numFmtId="44" fontId="0" fillId="0" borderId="0" xfId="3" applyFont="1"/>
    <xf numFmtId="0" fontId="4" fillId="0" borderId="0" xfId="0" applyFont="1"/>
    <xf numFmtId="0" fontId="4" fillId="0" borderId="10" xfId="0" applyFont="1" applyBorder="1" applyAlignment="1" applyProtection="1">
      <alignment horizontal="left" vertical="center"/>
      <protection locked="0"/>
    </xf>
    <xf numFmtId="4" fontId="4" fillId="2" borderId="11" xfId="3" applyNumberFormat="1" applyFont="1" applyFill="1" applyBorder="1" applyAlignment="1" applyProtection="1">
      <alignment horizontal="center" vertical="center"/>
      <protection locked="0"/>
    </xf>
    <xf numFmtId="4" fontId="4" fillId="0" borderId="12" xfId="3" applyNumberFormat="1" applyFont="1" applyBorder="1" applyAlignment="1" applyProtection="1">
      <alignment horizontal="center" vertical="center"/>
      <protection locked="0"/>
    </xf>
    <xf numFmtId="4" fontId="4" fillId="0" borderId="2" xfId="3" applyNumberFormat="1" applyFont="1" applyBorder="1" applyAlignment="1" applyProtection="1">
      <alignment horizontal="center"/>
      <protection locked="0"/>
    </xf>
    <xf numFmtId="4" fontId="4" fillId="2" borderId="12" xfId="3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/>
      <protection locked="0"/>
    </xf>
    <xf numFmtId="4" fontId="4" fillId="2" borderId="1" xfId="3" applyNumberFormat="1" applyFont="1" applyFill="1" applyBorder="1" applyAlignment="1" applyProtection="1">
      <alignment horizontal="center" vertical="center"/>
      <protection locked="0"/>
    </xf>
    <xf numFmtId="4" fontId="4" fillId="0" borderId="1" xfId="3" applyNumberFormat="1" applyFont="1" applyBorder="1" applyAlignment="1" applyProtection="1">
      <alignment horizontal="center"/>
      <protection locked="0"/>
    </xf>
    <xf numFmtId="4" fontId="4" fillId="0" borderId="1" xfId="3" applyNumberFormat="1" applyFont="1" applyBorder="1" applyAlignment="1" applyProtection="1">
      <alignment horizontal="center" vertical="center"/>
      <protection locked="0"/>
    </xf>
    <xf numFmtId="4" fontId="4" fillId="0" borderId="11" xfId="3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Alignment="1">
      <alignment horizontal="center"/>
    </xf>
    <xf numFmtId="0" fontId="4" fillId="0" borderId="14" xfId="0" applyFont="1" applyBorder="1" applyAlignment="1" applyProtection="1">
      <alignment horizontal="left"/>
      <protection locked="0"/>
    </xf>
    <xf numFmtId="4" fontId="4" fillId="2" borderId="15" xfId="3" applyNumberFormat="1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4" fontId="4" fillId="0" borderId="17" xfId="3" applyNumberFormat="1" applyFont="1" applyBorder="1" applyAlignment="1" applyProtection="1">
      <alignment horizontal="center"/>
      <protection locked="0"/>
    </xf>
    <xf numFmtId="4" fontId="4" fillId="0" borderId="11" xfId="3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left"/>
      <protection locked="0"/>
    </xf>
    <xf numFmtId="4" fontId="9" fillId="0" borderId="2" xfId="3" applyNumberFormat="1" applyFont="1" applyBorder="1" applyAlignment="1" applyProtection="1">
      <alignment horizontal="center"/>
      <protection locked="0"/>
    </xf>
    <xf numFmtId="4" fontId="4" fillId="0" borderId="15" xfId="3" applyNumberFormat="1" applyFont="1" applyBorder="1" applyAlignment="1" applyProtection="1">
      <alignment horizontal="center"/>
      <protection locked="0"/>
    </xf>
    <xf numFmtId="4" fontId="9" fillId="0" borderId="11" xfId="3" applyNumberFormat="1" applyFont="1" applyBorder="1" applyAlignment="1" applyProtection="1">
      <alignment horizontal="center"/>
      <protection locked="0"/>
    </xf>
    <xf numFmtId="4" fontId="9" fillId="0" borderId="15" xfId="3" applyNumberFormat="1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4" fontId="9" fillId="0" borderId="23" xfId="3" applyNumberFormat="1" applyFont="1" applyBorder="1" applyAlignment="1" applyProtection="1">
      <alignment horizontal="center"/>
      <protection locked="0"/>
    </xf>
    <xf numFmtId="4" fontId="9" fillId="0" borderId="17" xfId="3" applyNumberFormat="1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4" fontId="9" fillId="0" borderId="1" xfId="3" applyNumberFormat="1" applyFont="1" applyBorder="1" applyAlignment="1" applyProtection="1">
      <alignment horizontal="center"/>
      <protection locked="0"/>
    </xf>
    <xf numFmtId="44" fontId="4" fillId="0" borderId="0" xfId="0" applyNumberFormat="1" applyFont="1"/>
    <xf numFmtId="4" fontId="9" fillId="0" borderId="2" xfId="3" applyNumberFormat="1" applyFont="1" applyBorder="1" applyAlignment="1">
      <alignment horizontal="center"/>
    </xf>
    <xf numFmtId="4" fontId="4" fillId="0" borderId="2" xfId="3" applyNumberFormat="1" applyFont="1" applyBorder="1" applyAlignment="1">
      <alignment horizontal="center"/>
    </xf>
    <xf numFmtId="10" fontId="4" fillId="2" borderId="36" xfId="2" applyNumberFormat="1" applyFont="1" applyFill="1" applyBorder="1" applyAlignment="1">
      <alignment horizontal="center"/>
    </xf>
    <xf numFmtId="4" fontId="9" fillId="0" borderId="1" xfId="3" applyNumberFormat="1" applyFont="1" applyBorder="1" applyAlignment="1">
      <alignment horizontal="center"/>
    </xf>
    <xf numFmtId="4" fontId="4" fillId="0" borderId="1" xfId="3" applyNumberFormat="1" applyFont="1" applyBorder="1" applyAlignment="1">
      <alignment horizontal="center"/>
    </xf>
    <xf numFmtId="4" fontId="4" fillId="0" borderId="0" xfId="0" applyNumberFormat="1" applyFont="1"/>
    <xf numFmtId="4" fontId="9" fillId="0" borderId="11" xfId="5" applyNumberFormat="1" applyFont="1" applyBorder="1" applyAlignment="1" applyProtection="1">
      <alignment horizontal="center"/>
      <protection locked="0"/>
    </xf>
    <xf numFmtId="44" fontId="4" fillId="0" borderId="0" xfId="3" applyFont="1"/>
    <xf numFmtId="4" fontId="4" fillId="0" borderId="2" xfId="3" applyNumberFormat="1" applyFont="1" applyBorder="1" applyAlignment="1">
      <alignment horizontal="center" vertical="center"/>
    </xf>
    <xf numFmtId="4" fontId="4" fillId="0" borderId="15" xfId="3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26" xfId="0" applyFont="1" applyBorder="1" applyAlignment="1" applyProtection="1">
      <alignment horizontal="left" vertical="center"/>
      <protection locked="0"/>
    </xf>
    <xf numFmtId="4" fontId="4" fillId="0" borderId="12" xfId="0" applyNumberFormat="1" applyFont="1" applyBorder="1" applyAlignment="1" applyProtection="1">
      <alignment horizontal="center" vertical="center"/>
      <protection locked="0"/>
    </xf>
    <xf numFmtId="4" fontId="4" fillId="0" borderId="23" xfId="3" applyNumberFormat="1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left"/>
      <protection locked="0"/>
    </xf>
    <xf numFmtId="4" fontId="8" fillId="0" borderId="9" xfId="3" applyNumberFormat="1" applyFont="1" applyBorder="1" applyAlignment="1">
      <alignment horizontal="center"/>
    </xf>
    <xf numFmtId="4" fontId="8" fillId="2" borderId="9" xfId="3" applyNumberFormat="1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4" fontId="8" fillId="3" borderId="7" xfId="0" applyNumberFormat="1" applyFont="1" applyFill="1" applyBorder="1" applyAlignment="1" applyProtection="1">
      <alignment horizontal="center" vertical="center"/>
      <protection locked="0"/>
    </xf>
    <xf numFmtId="4" fontId="8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14" fontId="7" fillId="3" borderId="27" xfId="0" applyNumberFormat="1" applyFont="1" applyFill="1" applyBorder="1" applyAlignment="1" applyProtection="1">
      <alignment horizontal="center" vertical="center"/>
      <protection locked="0"/>
    </xf>
    <xf numFmtId="14" fontId="7" fillId="3" borderId="28" xfId="0" applyNumberFormat="1" applyFont="1" applyFill="1" applyBorder="1" applyAlignment="1" applyProtection="1">
      <alignment horizontal="center" vertical="center"/>
      <protection locked="0"/>
    </xf>
    <xf numFmtId="14" fontId="7" fillId="3" borderId="24" xfId="0" applyNumberFormat="1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left" vertical="center"/>
      <protection locked="0"/>
    </xf>
    <xf numFmtId="4" fontId="8" fillId="3" borderId="29" xfId="3" applyNumberFormat="1" applyFont="1" applyFill="1" applyBorder="1" applyAlignment="1">
      <alignment horizontal="center" vertical="center"/>
    </xf>
    <xf numFmtId="4" fontId="8" fillId="3" borderId="30" xfId="3" applyNumberFormat="1" applyFont="1" applyFill="1" applyBorder="1" applyAlignment="1">
      <alignment horizontal="center" vertical="center"/>
    </xf>
    <xf numFmtId="4" fontId="4" fillId="0" borderId="24" xfId="3" applyNumberFormat="1" applyFont="1" applyBorder="1" applyAlignment="1">
      <alignment horizontal="center" vertical="center"/>
    </xf>
    <xf numFmtId="4" fontId="4" fillId="0" borderId="17" xfId="3" applyNumberFormat="1" applyFont="1" applyBorder="1" applyAlignment="1">
      <alignment horizontal="center" vertical="center"/>
    </xf>
    <xf numFmtId="4" fontId="4" fillId="0" borderId="12" xfId="3" applyNumberFormat="1" applyFont="1" applyBorder="1" applyAlignment="1">
      <alignment horizontal="center" vertical="center"/>
    </xf>
    <xf numFmtId="4" fontId="9" fillId="0" borderId="24" xfId="3" applyNumberFormat="1" applyFont="1" applyBorder="1" applyAlignment="1" applyProtection="1">
      <alignment horizontal="center" vertical="center"/>
      <protection locked="0"/>
    </xf>
    <xf numFmtId="4" fontId="9" fillId="0" borderId="17" xfId="3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4" fontId="7" fillId="0" borderId="24" xfId="3" applyNumberFormat="1" applyFont="1" applyBorder="1" applyAlignment="1" applyProtection="1">
      <alignment horizontal="center" vertical="center"/>
      <protection locked="0"/>
    </xf>
    <xf numFmtId="4" fontId="7" fillId="0" borderId="17" xfId="3" applyNumberFormat="1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4" fontId="4" fillId="0" borderId="17" xfId="3" applyNumberFormat="1" applyFont="1" applyBorder="1" applyAlignment="1">
      <alignment horizontal="center"/>
    </xf>
    <xf numFmtId="0" fontId="8" fillId="3" borderId="19" xfId="0" applyFont="1" applyFill="1" applyBorder="1" applyAlignment="1" applyProtection="1">
      <alignment horizontal="left" vertical="center"/>
      <protection locked="0"/>
    </xf>
    <xf numFmtId="4" fontId="8" fillId="3" borderId="29" xfId="0" applyNumberFormat="1" applyFont="1" applyFill="1" applyBorder="1" applyAlignment="1" applyProtection="1">
      <alignment horizontal="center" vertical="center"/>
      <protection locked="0"/>
    </xf>
    <xf numFmtId="4" fontId="7" fillId="3" borderId="30" xfId="3" applyNumberFormat="1" applyFont="1" applyFill="1" applyBorder="1" applyAlignment="1">
      <alignment horizontal="center" vertical="center"/>
    </xf>
    <xf numFmtId="10" fontId="4" fillId="2" borderId="35" xfId="2" applyNumberFormat="1" applyFont="1" applyFill="1" applyBorder="1" applyAlignment="1">
      <alignment horizontal="center"/>
    </xf>
    <xf numFmtId="0" fontId="8" fillId="0" borderId="19" xfId="0" applyFont="1" applyBorder="1" applyAlignment="1" applyProtection="1">
      <alignment horizontal="left" vertical="center"/>
      <protection locked="0"/>
    </xf>
    <xf numFmtId="4" fontId="8" fillId="0" borderId="29" xfId="0" applyNumberFormat="1" applyFont="1" applyBorder="1" applyAlignment="1" applyProtection="1">
      <alignment horizontal="center" vertical="center"/>
      <protection locked="0"/>
    </xf>
    <xf numFmtId="4" fontId="7" fillId="0" borderId="37" xfId="3" applyNumberFormat="1" applyFont="1" applyBorder="1" applyAlignment="1">
      <alignment horizontal="center"/>
    </xf>
    <xf numFmtId="9" fontId="7" fillId="2" borderId="30" xfId="2" applyFont="1" applyFill="1" applyBorder="1" applyAlignment="1">
      <alignment horizontal="center"/>
    </xf>
    <xf numFmtId="0" fontId="9" fillId="0" borderId="26" xfId="0" applyFont="1" applyBorder="1" applyAlignment="1" applyProtection="1">
      <alignment horizontal="left" vertical="center"/>
      <protection locked="0"/>
    </xf>
    <xf numFmtId="0" fontId="8" fillId="3" borderId="20" xfId="0" applyFont="1" applyFill="1" applyBorder="1" applyAlignment="1" applyProtection="1">
      <alignment horizontal="left" vertical="center"/>
      <protection locked="0"/>
    </xf>
    <xf numFmtId="4" fontId="10" fillId="3" borderId="29" xfId="3" applyNumberFormat="1" applyFont="1" applyFill="1" applyBorder="1" applyAlignment="1" applyProtection="1">
      <alignment horizontal="center" vertical="center"/>
      <protection locked="0"/>
    </xf>
    <xf numFmtId="4" fontId="10" fillId="3" borderId="30" xfId="3" applyNumberFormat="1" applyFont="1" applyFill="1" applyBorder="1" applyAlignment="1" applyProtection="1">
      <alignment horizontal="center" vertical="center"/>
      <protection locked="0"/>
    </xf>
    <xf numFmtId="4" fontId="7" fillId="3" borderId="3" xfId="3" applyNumberFormat="1" applyFont="1" applyFill="1" applyBorder="1" applyAlignment="1" applyProtection="1">
      <alignment horizontal="center" vertical="center"/>
      <protection locked="0"/>
    </xf>
    <xf numFmtId="44" fontId="8" fillId="3" borderId="7" xfId="3" applyFont="1" applyFill="1" applyBorder="1" applyAlignment="1">
      <alignment horizontal="left" vertical="center"/>
    </xf>
    <xf numFmtId="4" fontId="7" fillId="3" borderId="14" xfId="3" applyNumberFormat="1" applyFont="1" applyFill="1" applyBorder="1" applyAlignment="1" applyProtection="1">
      <alignment horizontal="center"/>
      <protection locked="0"/>
    </xf>
    <xf numFmtId="4" fontId="7" fillId="3" borderId="38" xfId="3" applyNumberFormat="1" applyFont="1" applyFill="1" applyBorder="1" applyAlignment="1" applyProtection="1">
      <alignment horizontal="center"/>
      <protection locked="0"/>
    </xf>
    <xf numFmtId="4" fontId="7" fillId="3" borderId="3" xfId="3" applyNumberFormat="1" applyFont="1" applyFill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4" fontId="7" fillId="0" borderId="30" xfId="3" applyNumberFormat="1" applyFont="1" applyBorder="1" applyAlignment="1" applyProtection="1">
      <alignment horizontal="center"/>
      <protection locked="0"/>
    </xf>
    <xf numFmtId="0" fontId="4" fillId="0" borderId="0" xfId="9"/>
    <xf numFmtId="0" fontId="12" fillId="0" borderId="13" xfId="9" applyFont="1" applyBorder="1" applyAlignment="1" applyProtection="1">
      <alignment horizontal="left"/>
      <protection locked="0"/>
    </xf>
    <xf numFmtId="0" fontId="11" fillId="0" borderId="13" xfId="9" applyFont="1" applyBorder="1" applyAlignment="1" applyProtection="1">
      <alignment horizontal="left"/>
      <protection locked="0"/>
    </xf>
    <xf numFmtId="0" fontId="12" fillId="0" borderId="21" xfId="9" applyFont="1" applyBorder="1" applyAlignment="1" applyProtection="1">
      <alignment horizontal="left"/>
      <protection locked="0"/>
    </xf>
    <xf numFmtId="44" fontId="12" fillId="0" borderId="2" xfId="11" applyFont="1" applyBorder="1" applyAlignment="1" applyProtection="1">
      <alignment horizontal="left"/>
      <protection locked="0"/>
    </xf>
    <xf numFmtId="44" fontId="12" fillId="0" borderId="1" xfId="11" applyFont="1" applyBorder="1" applyAlignment="1" applyProtection="1">
      <alignment horizontal="left"/>
      <protection locked="0"/>
    </xf>
    <xf numFmtId="44" fontId="11" fillId="0" borderId="1" xfId="11" applyFont="1" applyBorder="1" applyAlignment="1" applyProtection="1">
      <alignment horizontal="left"/>
      <protection locked="0"/>
    </xf>
    <xf numFmtId="0" fontId="13" fillId="3" borderId="13" xfId="9" applyFont="1" applyFill="1" applyBorder="1" applyAlignment="1" applyProtection="1">
      <alignment horizontal="left"/>
      <protection locked="0"/>
    </xf>
    <xf numFmtId="44" fontId="13" fillId="3" borderId="1" xfId="11" applyFont="1" applyFill="1" applyBorder="1" applyAlignment="1" applyProtection="1">
      <alignment horizontal="left"/>
      <protection locked="0"/>
    </xf>
    <xf numFmtId="44" fontId="12" fillId="0" borderId="1" xfId="11" applyFont="1" applyBorder="1" applyAlignment="1">
      <alignment horizontal="center"/>
    </xf>
    <xf numFmtId="44" fontId="15" fillId="0" borderId="1" xfId="11" applyFont="1" applyBorder="1"/>
    <xf numFmtId="0" fontId="14" fillId="3" borderId="40" xfId="9" applyFont="1" applyFill="1" applyBorder="1"/>
    <xf numFmtId="44" fontId="14" fillId="3" borderId="41" xfId="11" applyFont="1" applyFill="1" applyBorder="1"/>
    <xf numFmtId="9" fontId="7" fillId="3" borderId="42" xfId="9" applyNumberFormat="1" applyFont="1" applyFill="1" applyBorder="1" applyAlignment="1">
      <alignment horizontal="center"/>
    </xf>
    <xf numFmtId="0" fontId="11" fillId="0" borderId="0" xfId="9" applyFont="1" applyFill="1" applyBorder="1" applyAlignment="1" applyProtection="1">
      <alignment horizontal="left"/>
      <protection locked="0"/>
    </xf>
    <xf numFmtId="44" fontId="11" fillId="0" borderId="0" xfId="11" applyFont="1" applyFill="1" applyBorder="1" applyAlignment="1" applyProtection="1">
      <alignment horizontal="left"/>
      <protection locked="0"/>
    </xf>
    <xf numFmtId="0" fontId="4" fillId="0" borderId="0" xfId="9" applyAlignment="1">
      <alignment horizontal="center"/>
    </xf>
    <xf numFmtId="9" fontId="4" fillId="0" borderId="0" xfId="10" applyFont="1"/>
    <xf numFmtId="165" fontId="4" fillId="0" borderId="39" xfId="10" applyNumberFormat="1" applyFont="1" applyBorder="1" applyAlignment="1">
      <alignment horizontal="center"/>
    </xf>
    <xf numFmtId="165" fontId="13" fillId="3" borderId="1" xfId="10" applyNumberFormat="1" applyFont="1" applyFill="1" applyBorder="1" applyAlignment="1" applyProtection="1">
      <alignment horizontal="center"/>
      <protection locked="0"/>
    </xf>
    <xf numFmtId="165" fontId="11" fillId="0" borderId="1" xfId="10" applyNumberFormat="1" applyFont="1" applyBorder="1" applyAlignment="1" applyProtection="1">
      <alignment horizontal="center"/>
      <protection locked="0"/>
    </xf>
    <xf numFmtId="165" fontId="12" fillId="0" borderId="1" xfId="10" applyNumberFormat="1" applyFont="1" applyBorder="1" applyAlignment="1">
      <alignment horizontal="center"/>
    </xf>
    <xf numFmtId="165" fontId="15" fillId="0" borderId="1" xfId="10" applyNumberFormat="1" applyFont="1" applyBorder="1" applyAlignment="1">
      <alignment horizontal="center"/>
    </xf>
    <xf numFmtId="4" fontId="4" fillId="2" borderId="23" xfId="3" applyNumberFormat="1" applyFont="1" applyFill="1" applyBorder="1" applyAlignment="1" applyProtection="1">
      <alignment horizontal="center" vertical="center"/>
      <protection locked="0"/>
    </xf>
    <xf numFmtId="4" fontId="8" fillId="3" borderId="29" xfId="3" applyNumberFormat="1" applyFont="1" applyFill="1" applyBorder="1" applyAlignment="1" applyProtection="1">
      <alignment horizontal="center" vertical="center"/>
      <protection locked="0"/>
    </xf>
    <xf numFmtId="4" fontId="8" fillId="0" borderId="17" xfId="3" applyNumberFormat="1" applyFont="1" applyBorder="1" applyAlignment="1" applyProtection="1">
      <alignment horizontal="center" vertical="center"/>
      <protection locked="0"/>
    </xf>
    <xf numFmtId="14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4" fontId="2" fillId="2" borderId="12" xfId="3" applyNumberFormat="1" applyFont="1" applyFill="1" applyBorder="1" applyAlignment="1" applyProtection="1">
      <alignment horizontal="center" vertical="center"/>
      <protection locked="0"/>
    </xf>
    <xf numFmtId="4" fontId="2" fillId="2" borderId="1" xfId="3" applyNumberFormat="1" applyFont="1" applyFill="1" applyBorder="1" applyAlignment="1" applyProtection="1">
      <alignment horizontal="center" vertical="center"/>
      <protection locked="0"/>
    </xf>
    <xf numFmtId="4" fontId="2" fillId="0" borderId="1" xfId="3" applyNumberFormat="1" applyFont="1" applyBorder="1" applyAlignment="1" applyProtection="1">
      <alignment horizontal="center" vertical="center"/>
      <protection locked="0"/>
    </xf>
    <xf numFmtId="4" fontId="2" fillId="0" borderId="15" xfId="3" applyNumberFormat="1" applyFont="1" applyBorder="1" applyAlignment="1" applyProtection="1">
      <alignment horizontal="center"/>
      <protection locked="0"/>
    </xf>
    <xf numFmtId="4" fontId="2" fillId="0" borderId="17" xfId="3" applyNumberFormat="1" applyFont="1" applyBorder="1" applyAlignment="1" applyProtection="1">
      <alignment horizontal="center"/>
      <protection locked="0"/>
    </xf>
    <xf numFmtId="4" fontId="2" fillId="0" borderId="1" xfId="3" applyNumberFormat="1" applyFont="1" applyBorder="1" applyAlignment="1" applyProtection="1">
      <alignment horizontal="center"/>
      <protection locked="0"/>
    </xf>
    <xf numFmtId="4" fontId="2" fillId="0" borderId="2" xfId="3" applyNumberFormat="1" applyFont="1" applyBorder="1" applyAlignment="1">
      <alignment horizontal="center"/>
    </xf>
    <xf numFmtId="4" fontId="2" fillId="0" borderId="2" xfId="3" applyNumberFormat="1" applyFont="1" applyBorder="1" applyAlignment="1" applyProtection="1">
      <alignment horizontal="center"/>
      <protection locked="0"/>
    </xf>
    <xf numFmtId="4" fontId="2" fillId="0" borderId="11" xfId="3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locked="0"/>
    </xf>
    <xf numFmtId="4" fontId="1" fillId="0" borderId="2" xfId="3" applyNumberFormat="1" applyFont="1" applyBorder="1" applyAlignment="1">
      <alignment horizontal="center"/>
    </xf>
    <xf numFmtId="14" fontId="8" fillId="3" borderId="3" xfId="0" applyNumberFormat="1" applyFont="1" applyFill="1" applyBorder="1" applyAlignment="1" applyProtection="1">
      <alignment horizontal="center" vertical="center"/>
      <protection locked="0"/>
    </xf>
    <xf numFmtId="14" fontId="8" fillId="3" borderId="31" xfId="0" applyNumberFormat="1" applyFont="1" applyFill="1" applyBorder="1" applyAlignment="1" applyProtection="1">
      <alignment horizontal="center" vertical="center"/>
      <protection locked="0"/>
    </xf>
    <xf numFmtId="14" fontId="8" fillId="3" borderId="28" xfId="0" applyNumberFormat="1" applyFont="1" applyFill="1" applyBorder="1" applyAlignment="1" applyProtection="1">
      <alignment horizontal="center" vertical="center"/>
      <protection locked="0"/>
    </xf>
    <xf numFmtId="14" fontId="8" fillId="3" borderId="32" xfId="0" applyNumberFormat="1" applyFont="1" applyFill="1" applyBorder="1" applyAlignment="1" applyProtection="1">
      <alignment horizontal="center" vertical="center"/>
      <protection locked="0"/>
    </xf>
    <xf numFmtId="14" fontId="8" fillId="3" borderId="5" xfId="0" applyNumberFormat="1" applyFont="1" applyFill="1" applyBorder="1" applyAlignment="1" applyProtection="1">
      <alignment horizontal="center" vertical="center"/>
      <protection locked="0"/>
    </xf>
    <xf numFmtId="14" fontId="8" fillId="3" borderId="33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14" fontId="7" fillId="3" borderId="3" xfId="0" applyNumberFormat="1" applyFont="1" applyFill="1" applyBorder="1" applyAlignment="1" applyProtection="1">
      <alignment horizontal="center" vertical="center"/>
      <protection locked="0"/>
    </xf>
    <xf numFmtId="14" fontId="7" fillId="3" borderId="31" xfId="0" applyNumberFormat="1" applyFont="1" applyFill="1" applyBorder="1" applyAlignment="1" applyProtection="1">
      <alignment horizontal="center" vertical="center"/>
      <protection locked="0"/>
    </xf>
    <xf numFmtId="14" fontId="7" fillId="3" borderId="28" xfId="0" applyNumberFormat="1" applyFont="1" applyFill="1" applyBorder="1" applyAlignment="1" applyProtection="1">
      <alignment horizontal="center" vertical="center"/>
      <protection locked="0"/>
    </xf>
    <xf numFmtId="14" fontId="7" fillId="3" borderId="32" xfId="0" applyNumberFormat="1" applyFont="1" applyFill="1" applyBorder="1" applyAlignment="1" applyProtection="1">
      <alignment horizontal="center" vertical="center"/>
      <protection locked="0"/>
    </xf>
    <xf numFmtId="14" fontId="7" fillId="3" borderId="5" xfId="0" applyNumberFormat="1" applyFont="1" applyFill="1" applyBorder="1" applyAlignment="1" applyProtection="1">
      <alignment horizontal="center" vertical="center"/>
      <protection locked="0"/>
    </xf>
    <xf numFmtId="14" fontId="7" fillId="3" borderId="33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14" fontId="8" fillId="3" borderId="7" xfId="0" applyNumberFormat="1" applyFont="1" applyFill="1" applyBorder="1" applyAlignment="1" applyProtection="1">
      <alignment horizontal="center" vertical="center"/>
      <protection locked="0"/>
    </xf>
    <xf numFmtId="14" fontId="8" fillId="3" borderId="8" xfId="0" applyNumberFormat="1" applyFont="1" applyFill="1" applyBorder="1" applyAlignment="1" applyProtection="1">
      <alignment horizontal="center" vertical="center"/>
      <protection locked="0"/>
    </xf>
    <xf numFmtId="43" fontId="4" fillId="3" borderId="27" xfId="1" applyFont="1" applyFill="1" applyBorder="1" applyAlignment="1">
      <alignment horizontal="center"/>
    </xf>
    <xf numFmtId="43" fontId="4" fillId="3" borderId="8" xfId="1" applyFont="1" applyFill="1" applyBorder="1" applyAlignment="1">
      <alignment horizontal="center"/>
    </xf>
    <xf numFmtId="0" fontId="14" fillId="3" borderId="20" xfId="9" applyFont="1" applyFill="1" applyBorder="1" applyAlignment="1">
      <alignment horizontal="center"/>
    </xf>
    <xf numFmtId="0" fontId="14" fillId="3" borderId="25" xfId="9" applyFont="1" applyFill="1" applyBorder="1" applyAlignment="1">
      <alignment horizontal="center"/>
    </xf>
    <xf numFmtId="0" fontId="14" fillId="3" borderId="34" xfId="9" applyFont="1" applyFill="1" applyBorder="1" applyAlignment="1">
      <alignment horizontal="center"/>
    </xf>
    <xf numFmtId="165" fontId="4" fillId="0" borderId="43" xfId="10" applyNumberFormat="1" applyFont="1" applyBorder="1" applyAlignment="1">
      <alignment horizontal="center" vertical="center"/>
    </xf>
    <xf numFmtId="165" fontId="4" fillId="0" borderId="35" xfId="10" applyNumberFormat="1" applyFont="1" applyBorder="1" applyAlignment="1">
      <alignment horizontal="center" vertical="center"/>
    </xf>
    <xf numFmtId="165" fontId="4" fillId="0" borderId="36" xfId="10" applyNumberFormat="1" applyFont="1" applyBorder="1" applyAlignment="1">
      <alignment horizontal="center" vertical="center"/>
    </xf>
  </cellXfs>
  <cellStyles count="15">
    <cellStyle name="Moeda" xfId="3" builtinId="4"/>
    <cellStyle name="Moeda 2" xfId="8" xr:uid="{1CA8D334-04F0-46FA-AAB8-F46CED07D2E4}"/>
    <cellStyle name="Moeda 2 2" xfId="14" xr:uid="{2304AC8A-9B85-436F-8868-8A61C6B8AE39}"/>
    <cellStyle name="Moeda 3" xfId="5" xr:uid="{AD7FB70F-25D9-44AB-957E-4DA67476FBF4}"/>
    <cellStyle name="Moeda 4" xfId="11" xr:uid="{C7ED297C-4E78-4864-A4A3-B181952068B6}"/>
    <cellStyle name="Normal" xfId="0" builtinId="0"/>
    <cellStyle name="Normal 2" xfId="6" xr:uid="{5945C2F5-0CF6-4BF2-97C1-7591AF7A730B}"/>
    <cellStyle name="Normal 2 2" xfId="12" xr:uid="{34D12BA9-1371-4223-98B4-D3D7B6D5768A}"/>
    <cellStyle name="Normal 3" xfId="9" xr:uid="{D1F6891E-A1AD-45C0-86FE-D5718D5EEB9D}"/>
    <cellStyle name="Porcentagem" xfId="2" builtinId="5"/>
    <cellStyle name="Porcentagem 2" xfId="7" xr:uid="{CA691CA1-196A-4B6A-9FB5-CE0B30A23134}"/>
    <cellStyle name="Porcentagem 2 2" xfId="13" xr:uid="{ED2884A2-0248-4C5F-8605-8A6FF81A8A4E}"/>
    <cellStyle name="Porcentagem 3" xfId="10" xr:uid="{D3E61F2D-DD76-4DAA-A084-449AC9F54EFA}"/>
    <cellStyle name="Vírgula" xfId="1" builtinId="3"/>
    <cellStyle name="Vírgula 2" xfId="4" xr:uid="{500C4E76-7E00-4DC9-94BD-C8430616D8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FIGURA 1 - APLICAÇÃO DE RECURSOS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157003789511901E-2"/>
          <c:y val="0.18508772224367476"/>
          <c:w val="0.62260763802219243"/>
          <c:h val="0.81118916105636052"/>
        </c:manualLayout>
      </c:layout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67B-4544-8824-22895997D5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589-4F59-BB62-F2B1FDD87FCB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667B-4544-8824-22895997D5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589-4F59-BB62-F2B1FDD87FC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589-4F59-BB62-F2B1FDD87FC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589-4F59-BB62-F2B1FDD87FCB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50800" dir="5400000" algn="ctr" rotWithShape="0">
                  <a:srgbClr val="000000">
                    <a:alpha val="70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Plan1!$B$19:$B$24</c:f>
              <c:strCache>
                <c:ptCount val="6"/>
                <c:pt idx="0">
                  <c:v>Gastos com Pessoal</c:v>
                </c:pt>
                <c:pt idx="1">
                  <c:v>Investimento</c:v>
                </c:pt>
                <c:pt idx="2">
                  <c:v>Serviços e Materiais</c:v>
                </c:pt>
                <c:pt idx="3">
                  <c:v>Concessionárias (água/luz/telefone)</c:v>
                </c:pt>
                <c:pt idx="4">
                  <c:v>Tributos, Taxas e Contribuições</c:v>
                </c:pt>
                <c:pt idx="5">
                  <c:v>Aluguel, Diárias, Adiantamento </c:v>
                </c:pt>
              </c:strCache>
            </c:strRef>
          </c:cat>
          <c:val>
            <c:numRef>
              <c:f>Plan1!$C$19:$C$24</c:f>
              <c:numCache>
                <c:formatCode>0.0%</c:formatCode>
                <c:ptCount val="6"/>
                <c:pt idx="0">
                  <c:v>0.496</c:v>
                </c:pt>
                <c:pt idx="1">
                  <c:v>1.7000000000000001E-2</c:v>
                </c:pt>
                <c:pt idx="2">
                  <c:v>0.26400000000000001</c:v>
                </c:pt>
                <c:pt idx="3">
                  <c:v>2.1999999999999999E-2</c:v>
                </c:pt>
                <c:pt idx="4">
                  <c:v>0.19700000000000001</c:v>
                </c:pt>
                <c:pt idx="5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B-4544-8824-22895997D54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8</xdr:row>
      <xdr:rowOff>19050</xdr:rowOff>
    </xdr:from>
    <xdr:to>
      <xdr:col>13</xdr:col>
      <xdr:colOff>222249</xdr:colOff>
      <xdr:row>24</xdr:row>
      <xdr:rowOff>44450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B78883-90BB-4ADD-9B93-E56B41081F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63"/>
  <sheetViews>
    <sheetView showGridLines="0" tabSelected="1" topLeftCell="A5" zoomScale="90" zoomScaleNormal="90" workbookViewId="0">
      <selection activeCell="F13" sqref="F13"/>
    </sheetView>
  </sheetViews>
  <sheetFormatPr defaultColWidth="9.140625" defaultRowHeight="15"/>
  <cols>
    <col min="1" max="1" width="3.5703125" style="2" customWidth="1"/>
    <col min="2" max="2" width="42.42578125" style="2" bestFit="1" customWidth="1"/>
    <col min="3" max="9" width="17.5703125" style="2" customWidth="1"/>
    <col min="10" max="14" width="12.5703125" style="2" bestFit="1" customWidth="1"/>
    <col min="15" max="15" width="13.5703125" style="2" bestFit="1" customWidth="1"/>
    <col min="16" max="16" width="11.140625" style="2" customWidth="1"/>
    <col min="17" max="17" width="6.42578125" style="2" customWidth="1"/>
    <col min="18" max="18" width="21.7109375" style="2" customWidth="1"/>
    <col min="19" max="16384" width="9.140625" style="2"/>
  </cols>
  <sheetData>
    <row r="2" spans="2:17" ht="15" customHeight="1">
      <c r="B2" s="148" t="s">
        <v>63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2:17" ht="15.75" customHeight="1" thickBot="1">
      <c r="B3" s="151"/>
      <c r="C3" s="152"/>
      <c r="D3" s="152"/>
      <c r="E3" s="152"/>
      <c r="F3" s="152"/>
      <c r="G3" s="152"/>
      <c r="H3" s="152"/>
      <c r="I3" s="153"/>
      <c r="J3" s="153"/>
      <c r="K3" s="153"/>
      <c r="L3" s="153"/>
      <c r="M3" s="153"/>
      <c r="N3" s="153"/>
      <c r="O3" s="153"/>
      <c r="P3" s="154"/>
    </row>
    <row r="4" spans="2:17" ht="15.75" customHeight="1">
      <c r="B4" s="161" t="s">
        <v>0</v>
      </c>
      <c r="C4" s="163">
        <v>43830</v>
      </c>
      <c r="D4" s="163">
        <v>43861</v>
      </c>
      <c r="E4" s="163">
        <v>43890</v>
      </c>
      <c r="F4" s="163">
        <v>43921</v>
      </c>
      <c r="G4" s="163">
        <v>43951</v>
      </c>
      <c r="H4" s="131">
        <v>43982</v>
      </c>
      <c r="I4" s="131">
        <v>44012</v>
      </c>
      <c r="J4" s="131">
        <v>44043</v>
      </c>
      <c r="K4" s="131">
        <v>44074</v>
      </c>
      <c r="L4" s="131">
        <v>44104</v>
      </c>
      <c r="M4" s="131">
        <v>44135</v>
      </c>
      <c r="N4" s="131">
        <v>44165</v>
      </c>
      <c r="O4" s="131"/>
      <c r="P4" s="132"/>
    </row>
    <row r="5" spans="2:17" ht="15.75" customHeight="1" thickBot="1">
      <c r="B5" s="162"/>
      <c r="C5" s="164"/>
      <c r="D5" s="164"/>
      <c r="E5" s="164"/>
      <c r="F5" s="164"/>
      <c r="G5" s="164"/>
      <c r="H5" s="135"/>
      <c r="I5" s="135"/>
      <c r="J5" s="135"/>
      <c r="K5" s="135"/>
      <c r="L5" s="135"/>
      <c r="M5" s="135"/>
      <c r="N5" s="135"/>
      <c r="O5" s="133"/>
      <c r="P5" s="134"/>
    </row>
    <row r="6" spans="2:17" ht="15" customHeight="1">
      <c r="B6" s="3" t="s">
        <v>2</v>
      </c>
      <c r="C6" s="4"/>
      <c r="D6" s="5">
        <v>1155466.43</v>
      </c>
      <c r="E6" s="6">
        <v>1157033.3799999999</v>
      </c>
      <c r="F6" s="6">
        <v>1258738.32</v>
      </c>
      <c r="G6" s="7">
        <v>1160409.17</v>
      </c>
      <c r="H6" s="115">
        <v>781686.55</v>
      </c>
      <c r="I6" s="7">
        <v>605153.59</v>
      </c>
      <c r="J6" s="120">
        <v>556943.91</v>
      </c>
      <c r="K6" s="120">
        <v>800310.19</v>
      </c>
      <c r="L6" s="122">
        <v>1000890.86</v>
      </c>
      <c r="M6" s="7">
        <v>1301708.98</v>
      </c>
      <c r="N6" s="7">
        <v>1262708</v>
      </c>
      <c r="O6" s="133"/>
      <c r="P6" s="134"/>
    </row>
    <row r="7" spans="2:17" ht="15" customHeight="1">
      <c r="B7" s="8" t="s">
        <v>3</v>
      </c>
      <c r="C7" s="4">
        <v>3715.29</v>
      </c>
      <c r="D7" s="9">
        <v>5492.66</v>
      </c>
      <c r="E7" s="10">
        <v>2899.24</v>
      </c>
      <c r="F7" s="10">
        <v>4517.21</v>
      </c>
      <c r="G7" s="11">
        <v>2203.88</v>
      </c>
      <c r="H7" s="4">
        <v>3349.84</v>
      </c>
      <c r="I7" s="9">
        <v>3262.15</v>
      </c>
      <c r="J7" s="121">
        <v>3162.15</v>
      </c>
      <c r="K7" s="121">
        <v>2872.86</v>
      </c>
      <c r="L7" s="121">
        <v>3453.48</v>
      </c>
      <c r="M7" s="9">
        <v>4687.5600000000004</v>
      </c>
      <c r="N7" s="9">
        <v>4281.9399999999996</v>
      </c>
      <c r="O7" s="133"/>
      <c r="P7" s="134"/>
    </row>
    <row r="8" spans="2:17" ht="15" customHeight="1">
      <c r="B8" s="8" t="s">
        <v>60</v>
      </c>
      <c r="C8" s="12">
        <v>1659323.02</v>
      </c>
      <c r="D8" s="11">
        <v>100204.85</v>
      </c>
      <c r="E8" s="10">
        <v>139973.79</v>
      </c>
      <c r="F8" s="10">
        <v>101137.2</v>
      </c>
      <c r="G8" s="11">
        <v>98683.6</v>
      </c>
      <c r="H8" s="12">
        <v>7127.53</v>
      </c>
      <c r="I8" s="11">
        <v>20155.38</v>
      </c>
      <c r="J8" s="122">
        <v>12530.75</v>
      </c>
      <c r="K8" s="122">
        <v>20207.68</v>
      </c>
      <c r="L8" s="122">
        <v>74355.22</v>
      </c>
      <c r="M8" s="11">
        <v>68573.06</v>
      </c>
      <c r="N8" s="11">
        <v>12405.54</v>
      </c>
      <c r="O8" s="133"/>
      <c r="P8" s="134"/>
      <c r="Q8" s="13"/>
    </row>
    <row r="9" spans="2:17" ht="15" customHeight="1">
      <c r="B9" s="14" t="s">
        <v>61</v>
      </c>
      <c r="C9" s="11">
        <v>100.12</v>
      </c>
      <c r="D9" s="11">
        <v>100.32</v>
      </c>
      <c r="E9" s="15">
        <v>100.47</v>
      </c>
      <c r="F9" s="15">
        <v>100.63</v>
      </c>
      <c r="G9" s="11">
        <v>100.75</v>
      </c>
      <c r="H9" s="12">
        <v>100.71</v>
      </c>
      <c r="I9" s="11">
        <v>100.77</v>
      </c>
      <c r="J9" s="122">
        <v>100.79</v>
      </c>
      <c r="K9" s="122">
        <v>100.81</v>
      </c>
      <c r="L9" s="122">
        <v>100.82</v>
      </c>
      <c r="M9" s="11">
        <v>100.84</v>
      </c>
      <c r="N9" s="12">
        <v>100.83</v>
      </c>
      <c r="O9" s="133"/>
      <c r="P9" s="134"/>
      <c r="Q9" s="13"/>
    </row>
    <row r="10" spans="2:17" ht="15" customHeight="1" thickBot="1">
      <c r="B10" s="16" t="s">
        <v>4</v>
      </c>
      <c r="C10" s="10">
        <v>0</v>
      </c>
      <c r="D10" s="17">
        <v>0</v>
      </c>
      <c r="E10" s="10">
        <v>0</v>
      </c>
      <c r="F10" s="10">
        <v>0</v>
      </c>
      <c r="G10" s="10">
        <v>0</v>
      </c>
      <c r="H10" s="18">
        <v>0</v>
      </c>
      <c r="I10" s="11">
        <v>13117.9</v>
      </c>
      <c r="J10" s="122">
        <v>19967.36</v>
      </c>
      <c r="K10" s="122">
        <v>0</v>
      </c>
      <c r="L10" s="18">
        <v>0</v>
      </c>
      <c r="M10" s="18">
        <v>0</v>
      </c>
      <c r="N10" s="18">
        <v>0</v>
      </c>
      <c r="O10" s="133"/>
      <c r="P10" s="134"/>
    </row>
    <row r="11" spans="2:17" ht="15.75" customHeight="1" thickBot="1">
      <c r="B11" s="83" t="s">
        <v>5</v>
      </c>
      <c r="C11" s="84">
        <f t="shared" ref="C11:N11" si="0">SUM(C6:C10)</f>
        <v>1663138.4300000002</v>
      </c>
      <c r="D11" s="85">
        <f t="shared" si="0"/>
        <v>1261264.26</v>
      </c>
      <c r="E11" s="85">
        <f t="shared" si="0"/>
        <v>1300006.8799999999</v>
      </c>
      <c r="F11" s="85">
        <f t="shared" si="0"/>
        <v>1364493.3599999999</v>
      </c>
      <c r="G11" s="85">
        <f t="shared" si="0"/>
        <v>1261397.3999999999</v>
      </c>
      <c r="H11" s="86">
        <f t="shared" si="0"/>
        <v>792264.63</v>
      </c>
      <c r="I11" s="86">
        <f t="shared" si="0"/>
        <v>641789.79</v>
      </c>
      <c r="J11" s="86">
        <f t="shared" si="0"/>
        <v>592704.96000000008</v>
      </c>
      <c r="K11" s="86">
        <f t="shared" si="0"/>
        <v>823491.54</v>
      </c>
      <c r="L11" s="86">
        <f>SUM(L6:L10)</f>
        <v>1078800.3800000001</v>
      </c>
      <c r="M11" s="86">
        <f t="shared" si="0"/>
        <v>1375070.4400000002</v>
      </c>
      <c r="N11" s="86">
        <f t="shared" si="0"/>
        <v>1279496.31</v>
      </c>
      <c r="O11" s="135"/>
      <c r="P11" s="136"/>
    </row>
    <row r="12" spans="2:17" ht="20.100000000000001" customHeight="1" thickBot="1">
      <c r="B12" s="141" t="s">
        <v>6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</row>
    <row r="13" spans="2:17" ht="15.75" thickBot="1">
      <c r="B13" s="88" t="s">
        <v>7</v>
      </c>
      <c r="C13" s="89" t="s">
        <v>8</v>
      </c>
      <c r="D13" s="89" t="s">
        <v>9</v>
      </c>
      <c r="E13" s="89" t="s">
        <v>10</v>
      </c>
      <c r="F13" s="90" t="s">
        <v>11</v>
      </c>
      <c r="G13" s="90" t="s">
        <v>12</v>
      </c>
      <c r="H13" s="90" t="s">
        <v>13</v>
      </c>
      <c r="I13" s="90" t="s">
        <v>72</v>
      </c>
      <c r="J13" s="90" t="s">
        <v>73</v>
      </c>
      <c r="K13" s="90" t="s">
        <v>74</v>
      </c>
      <c r="L13" s="90" t="s">
        <v>75</v>
      </c>
      <c r="M13" s="90" t="s">
        <v>76</v>
      </c>
      <c r="N13" s="90" t="s">
        <v>77</v>
      </c>
      <c r="O13" s="90" t="s">
        <v>1</v>
      </c>
      <c r="P13" s="137"/>
    </row>
    <row r="14" spans="2:17">
      <c r="B14" s="19" t="s">
        <v>14</v>
      </c>
      <c r="C14" s="20">
        <v>0</v>
      </c>
      <c r="D14" s="21">
        <v>1495096.3</v>
      </c>
      <c r="E14" s="21">
        <v>1499093.24</v>
      </c>
      <c r="F14" s="21">
        <v>1495593.24</v>
      </c>
      <c r="G14" s="21">
        <v>1045468.97</v>
      </c>
      <c r="H14" s="21">
        <v>1045740.09</v>
      </c>
      <c r="I14" s="21">
        <v>1076039.31</v>
      </c>
      <c r="J14" s="123">
        <v>1098190</v>
      </c>
      <c r="K14" s="123">
        <v>1107098.3799999999</v>
      </c>
      <c r="L14" s="21">
        <v>1100042.6399999999</v>
      </c>
      <c r="M14" s="21">
        <v>1094279.31</v>
      </c>
      <c r="N14" s="21">
        <v>1648582.36</v>
      </c>
      <c r="O14" s="21">
        <f>SUM(I14:N14)</f>
        <v>7124232.0000000009</v>
      </c>
      <c r="P14" s="138"/>
    </row>
    <row r="15" spans="2:17">
      <c r="B15" s="8" t="s">
        <v>15</v>
      </c>
      <c r="C15" s="22">
        <v>4614.13</v>
      </c>
      <c r="D15" s="21">
        <v>2312.02</v>
      </c>
      <c r="E15" s="21">
        <v>2302.62</v>
      </c>
      <c r="F15" s="21">
        <v>2013.79</v>
      </c>
      <c r="G15" s="21">
        <v>1554.96</v>
      </c>
      <c r="H15" s="21">
        <v>950.27</v>
      </c>
      <c r="I15" s="21">
        <v>652.89</v>
      </c>
      <c r="J15" s="123">
        <v>542.41</v>
      </c>
      <c r="K15" s="123">
        <v>582.88</v>
      </c>
      <c r="L15" s="21">
        <v>818.14</v>
      </c>
      <c r="M15" s="21">
        <v>1165.2</v>
      </c>
      <c r="N15" s="21">
        <v>2476.12</v>
      </c>
      <c r="O15" s="21">
        <f t="shared" ref="O15:O18" si="1">SUM(I15:N15)</f>
        <v>6237.6399999999994</v>
      </c>
      <c r="P15" s="138"/>
    </row>
    <row r="16" spans="2:17">
      <c r="B16" s="8" t="s">
        <v>16</v>
      </c>
      <c r="C16" s="22">
        <v>2818.75</v>
      </c>
      <c r="D16" s="22">
        <v>1410</v>
      </c>
      <c r="E16" s="22">
        <v>787.62</v>
      </c>
      <c r="F16" s="23">
        <v>6993.87</v>
      </c>
      <c r="G16" s="23">
        <v>1530</v>
      </c>
      <c r="H16" s="23">
        <v>3010</v>
      </c>
      <c r="I16" s="23">
        <v>14406</v>
      </c>
      <c r="J16" s="23">
        <v>221.35</v>
      </c>
      <c r="K16" s="23">
        <v>0</v>
      </c>
      <c r="L16" s="23">
        <v>400</v>
      </c>
      <c r="M16" s="23">
        <v>0</v>
      </c>
      <c r="N16" s="23">
        <v>250</v>
      </c>
      <c r="O16" s="21">
        <f t="shared" si="1"/>
        <v>15277.35</v>
      </c>
      <c r="P16" s="138"/>
    </row>
    <row r="17" spans="2:18">
      <c r="B17" s="24" t="s">
        <v>17</v>
      </c>
      <c r="C17" s="22">
        <v>315.13</v>
      </c>
      <c r="D17" s="22">
        <v>249.5</v>
      </c>
      <c r="E17" s="22">
        <v>499</v>
      </c>
      <c r="F17" s="23">
        <v>209.25</v>
      </c>
      <c r="G17" s="21">
        <v>0</v>
      </c>
      <c r="H17" s="23">
        <v>0</v>
      </c>
      <c r="I17" s="23">
        <v>0</v>
      </c>
      <c r="J17" s="125">
        <v>0</v>
      </c>
      <c r="K17" s="125">
        <v>0</v>
      </c>
      <c r="L17" s="23">
        <v>0</v>
      </c>
      <c r="M17" s="23">
        <v>0</v>
      </c>
      <c r="N17" s="23">
        <v>0</v>
      </c>
      <c r="O17" s="21">
        <f t="shared" si="1"/>
        <v>0</v>
      </c>
      <c r="P17" s="138"/>
    </row>
    <row r="18" spans="2:18" ht="15.75" thickBot="1">
      <c r="B18" s="87" t="s">
        <v>18</v>
      </c>
      <c r="C18" s="26">
        <v>2000</v>
      </c>
      <c r="D18" s="17">
        <v>0</v>
      </c>
      <c r="E18" s="17">
        <v>2000</v>
      </c>
      <c r="F18" s="17">
        <v>0</v>
      </c>
      <c r="G18" s="17">
        <v>2000</v>
      </c>
      <c r="H18" s="17">
        <v>0</v>
      </c>
      <c r="I18" s="17">
        <v>0</v>
      </c>
      <c r="J18" s="124">
        <v>0</v>
      </c>
      <c r="K18" s="124">
        <v>2000</v>
      </c>
      <c r="L18" s="17">
        <v>2000</v>
      </c>
      <c r="M18" s="17">
        <v>0</v>
      </c>
      <c r="N18" s="17">
        <v>0</v>
      </c>
      <c r="O18" s="21">
        <f t="shared" si="1"/>
        <v>4000</v>
      </c>
      <c r="P18" s="138"/>
    </row>
    <row r="19" spans="2:18" ht="15.75" thickBot="1">
      <c r="B19" s="74" t="s">
        <v>19</v>
      </c>
      <c r="C19" s="75">
        <v>9748.01</v>
      </c>
      <c r="D19" s="75">
        <f>D14+D15+D16+D17+D18</f>
        <v>1499067.82</v>
      </c>
      <c r="E19" s="75">
        <f>SUM(E14,E15,E16,E17,E18)</f>
        <v>1504682.4800000002</v>
      </c>
      <c r="F19" s="75">
        <f>SUM(F14:F18)</f>
        <v>1504810.1500000001</v>
      </c>
      <c r="G19" s="75">
        <f>SUM(G14:G18)</f>
        <v>1050553.93</v>
      </c>
      <c r="H19" s="75">
        <f>SUM(H14:H18)</f>
        <v>1049700.3599999999</v>
      </c>
      <c r="I19" s="75">
        <f t="shared" ref="I19:N19" si="2">SUM(I14:I18)</f>
        <v>1091098.2</v>
      </c>
      <c r="J19" s="75">
        <f t="shared" si="2"/>
        <v>1098953.76</v>
      </c>
      <c r="K19" s="75">
        <f t="shared" si="2"/>
        <v>1109681.2599999998</v>
      </c>
      <c r="L19" s="75">
        <f t="shared" si="2"/>
        <v>1103260.7799999998</v>
      </c>
      <c r="M19" s="75">
        <f t="shared" si="2"/>
        <v>1095444.51</v>
      </c>
      <c r="N19" s="75">
        <f t="shared" si="2"/>
        <v>1651308.4800000002</v>
      </c>
      <c r="O19" s="91">
        <f>SUM(I19:N19)</f>
        <v>7149746.9900000002</v>
      </c>
      <c r="P19" s="138"/>
    </row>
    <row r="20" spans="2:18" ht="15.75" thickBot="1">
      <c r="B20" s="14" t="s">
        <v>20</v>
      </c>
      <c r="C20" s="27">
        <v>1559854.71</v>
      </c>
      <c r="D20" s="27">
        <v>1401480.38</v>
      </c>
      <c r="E20" s="27">
        <v>970395.37</v>
      </c>
      <c r="F20" s="27">
        <v>787216.28</v>
      </c>
      <c r="G20" s="27">
        <v>950089.5</v>
      </c>
      <c r="H20" s="27">
        <v>1209960.72</v>
      </c>
      <c r="I20" s="27">
        <v>1132122.3600000001</v>
      </c>
      <c r="J20" s="27">
        <v>1095041.77</v>
      </c>
      <c r="K20" s="27">
        <v>854312.1</v>
      </c>
      <c r="L20" s="27">
        <v>1686687.68</v>
      </c>
      <c r="M20" s="27">
        <v>2070780.06</v>
      </c>
      <c r="N20" s="27">
        <v>1380737.51</v>
      </c>
      <c r="O20" s="17">
        <f>SUM(I20:N20)</f>
        <v>8219681.4800000004</v>
      </c>
      <c r="P20" s="138"/>
    </row>
    <row r="21" spans="2:18" ht="20.100000000000001" customHeight="1" thickBot="1">
      <c r="B21" s="50" t="s">
        <v>21</v>
      </c>
      <c r="C21" s="51">
        <f>SUM(C19:C20)</f>
        <v>1569602.72</v>
      </c>
      <c r="D21" s="51">
        <f>SUM(D19:D20)</f>
        <v>2900548.2</v>
      </c>
      <c r="E21" s="51">
        <f>E19+E20</f>
        <v>2475077.85</v>
      </c>
      <c r="F21" s="51">
        <f>SUM(F19:F20)</f>
        <v>2292026.4300000002</v>
      </c>
      <c r="G21" s="51">
        <f>SUM(G19:G20)</f>
        <v>2000643.43</v>
      </c>
      <c r="H21" s="52">
        <f>H19+H20</f>
        <v>2259661.08</v>
      </c>
      <c r="I21" s="52">
        <f t="shared" ref="I21:N21" si="3">I19+I20</f>
        <v>2223220.56</v>
      </c>
      <c r="J21" s="52">
        <f t="shared" si="3"/>
        <v>2193995.5300000003</v>
      </c>
      <c r="K21" s="52">
        <f t="shared" si="3"/>
        <v>1963993.3599999999</v>
      </c>
      <c r="L21" s="52">
        <f t="shared" si="3"/>
        <v>2789948.46</v>
      </c>
      <c r="M21" s="52">
        <f t="shared" si="3"/>
        <v>3166224.5700000003</v>
      </c>
      <c r="N21" s="52">
        <f t="shared" si="3"/>
        <v>3032045.99</v>
      </c>
      <c r="O21" s="82">
        <f>SUM(I21:N21)</f>
        <v>15369428.470000001</v>
      </c>
      <c r="P21" s="139"/>
    </row>
    <row r="22" spans="2:18" ht="20.100000000000001" customHeight="1" thickBot="1">
      <c r="B22" s="141" t="s">
        <v>22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4"/>
    </row>
    <row r="23" spans="2:18">
      <c r="B23" s="28" t="s">
        <v>23</v>
      </c>
      <c r="C23" s="23">
        <v>0</v>
      </c>
      <c r="D23" s="23">
        <v>1441048.3</v>
      </c>
      <c r="E23" s="23">
        <v>931342.53</v>
      </c>
      <c r="F23" s="23">
        <v>784624.52</v>
      </c>
      <c r="G23" s="23">
        <v>478458.97</v>
      </c>
      <c r="H23" s="23">
        <v>1045740.09</v>
      </c>
      <c r="I23" s="23">
        <v>1075806.6100000001</v>
      </c>
      <c r="J23" s="23">
        <v>1345665.72</v>
      </c>
      <c r="K23" s="23">
        <v>1108622.77</v>
      </c>
      <c r="L23" s="23">
        <v>1981385.97</v>
      </c>
      <c r="M23" s="23">
        <v>1974577.58</v>
      </c>
      <c r="N23" s="23">
        <v>1678837.74</v>
      </c>
      <c r="O23" s="23">
        <f>SUM(I23:N23)</f>
        <v>9164896.3900000006</v>
      </c>
      <c r="P23" s="137"/>
    </row>
    <row r="24" spans="2:18">
      <c r="B24" s="29" t="s">
        <v>24</v>
      </c>
      <c r="C24" s="23">
        <v>1559854.71</v>
      </c>
      <c r="D24" s="22">
        <v>1401480.38</v>
      </c>
      <c r="E24" s="22">
        <v>970395.37</v>
      </c>
      <c r="F24" s="22">
        <v>787216.28</v>
      </c>
      <c r="G24" s="22">
        <v>950089.5</v>
      </c>
      <c r="H24" s="22">
        <v>1209960.72</v>
      </c>
      <c r="I24" s="22">
        <v>1132122.3600000001</v>
      </c>
      <c r="J24" s="22">
        <v>1095041.77</v>
      </c>
      <c r="K24" s="22">
        <v>854312.1</v>
      </c>
      <c r="L24" s="22">
        <v>1686687.68</v>
      </c>
      <c r="M24" s="22">
        <v>1635780.06</v>
      </c>
      <c r="N24" s="22">
        <v>1380737.51</v>
      </c>
      <c r="O24" s="23">
        <f t="shared" ref="O24:O25" si="4">SUM(I24:N24)</f>
        <v>7784681.4800000004</v>
      </c>
      <c r="P24" s="138"/>
      <c r="Q24" s="31"/>
    </row>
    <row r="25" spans="2:18" ht="15.75" thickBot="1">
      <c r="B25" s="78" t="s">
        <v>25</v>
      </c>
      <c r="C25" s="27">
        <v>1281.96</v>
      </c>
      <c r="D25" s="26">
        <v>543.9</v>
      </c>
      <c r="E25" s="26">
        <v>381.27</v>
      </c>
      <c r="F25" s="26">
        <v>190.86</v>
      </c>
      <c r="G25" s="26">
        <v>182.46</v>
      </c>
      <c r="H25" s="26">
        <v>220.89</v>
      </c>
      <c r="I25" s="26">
        <v>171.43</v>
      </c>
      <c r="J25" s="26">
        <v>122.03</v>
      </c>
      <c r="K25" s="26">
        <v>5.19</v>
      </c>
      <c r="L25" s="26">
        <v>38.590000000000003</v>
      </c>
      <c r="M25" s="26">
        <v>125.73</v>
      </c>
      <c r="N25" s="26">
        <v>274.63</v>
      </c>
      <c r="O25" s="23">
        <f t="shared" si="4"/>
        <v>737.6</v>
      </c>
      <c r="P25" s="138"/>
      <c r="Q25" s="31"/>
    </row>
    <row r="26" spans="2:18" ht="20.100000000000001" customHeight="1" thickBot="1">
      <c r="B26" s="79" t="s">
        <v>26</v>
      </c>
      <c r="C26" s="80">
        <f>C23-C24-C25</f>
        <v>-1561136.67</v>
      </c>
      <c r="D26" s="80">
        <f>D23-D24-D25</f>
        <v>39024.020000000157</v>
      </c>
      <c r="E26" s="80">
        <f>E23-E24-E25</f>
        <v>-39434.109999999964</v>
      </c>
      <c r="F26" s="80">
        <f t="shared" ref="F26:N26" si="5">F23-F24-F25</f>
        <v>-2782.6200000000094</v>
      </c>
      <c r="G26" s="80">
        <f t="shared" si="5"/>
        <v>-471812.99000000005</v>
      </c>
      <c r="H26" s="80">
        <f t="shared" si="5"/>
        <v>-164441.52000000002</v>
      </c>
      <c r="I26" s="116">
        <f t="shared" si="5"/>
        <v>-56487.18</v>
      </c>
      <c r="J26" s="116">
        <f t="shared" si="5"/>
        <v>250501.91999999995</v>
      </c>
      <c r="K26" s="116">
        <f t="shared" si="5"/>
        <v>254305.48000000004</v>
      </c>
      <c r="L26" s="116">
        <f t="shared" si="5"/>
        <v>294659.7</v>
      </c>
      <c r="M26" s="116">
        <f t="shared" si="5"/>
        <v>338671.79000000004</v>
      </c>
      <c r="N26" s="116">
        <f t="shared" si="5"/>
        <v>297825.59999999998</v>
      </c>
      <c r="O26" s="81">
        <f>SUM(I26:N26)</f>
        <v>1379477.31</v>
      </c>
      <c r="P26" s="139"/>
      <c r="Q26" s="31"/>
    </row>
    <row r="27" spans="2:18" ht="20.100000000000001" customHeight="1" thickBot="1">
      <c r="B27" s="141" t="s">
        <v>27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3"/>
      <c r="Q27" s="31"/>
    </row>
    <row r="28" spans="2:18">
      <c r="B28" s="19" t="s">
        <v>28</v>
      </c>
      <c r="C28" s="32">
        <v>41212.199999999997</v>
      </c>
      <c r="D28" s="33">
        <v>61201.82</v>
      </c>
      <c r="E28" s="33">
        <v>13950</v>
      </c>
      <c r="F28" s="33">
        <v>13781.3</v>
      </c>
      <c r="G28" s="33">
        <v>6000</v>
      </c>
      <c r="H28" s="33">
        <v>6954</v>
      </c>
      <c r="I28" s="33">
        <v>6316</v>
      </c>
      <c r="J28" s="126">
        <v>15417.8</v>
      </c>
      <c r="K28" s="126">
        <v>8227.7999999999993</v>
      </c>
      <c r="L28" s="33">
        <v>11270.02</v>
      </c>
      <c r="M28" s="33">
        <v>11933.85</v>
      </c>
      <c r="N28" s="33">
        <v>19424.509999999998</v>
      </c>
      <c r="O28" s="33">
        <f>SUM(I28:N28)</f>
        <v>72589.98</v>
      </c>
      <c r="P28" s="34">
        <f>O28/O44</f>
        <v>1.1691911705274217E-2</v>
      </c>
      <c r="Q28" s="31"/>
    </row>
    <row r="29" spans="2:18">
      <c r="B29" s="8" t="s">
        <v>29</v>
      </c>
      <c r="C29" s="35">
        <v>464925.63</v>
      </c>
      <c r="D29" s="36">
        <v>449392.36</v>
      </c>
      <c r="E29" s="36">
        <v>425860.85</v>
      </c>
      <c r="F29" s="36">
        <v>546221.51</v>
      </c>
      <c r="G29" s="36">
        <v>523074.3</v>
      </c>
      <c r="H29" s="36">
        <v>434687.93</v>
      </c>
      <c r="I29" s="33">
        <v>369704.29</v>
      </c>
      <c r="J29" s="126">
        <v>244993.38</v>
      </c>
      <c r="K29" s="126">
        <v>305217.96000000002</v>
      </c>
      <c r="L29" s="33">
        <v>308731.82</v>
      </c>
      <c r="M29" s="130">
        <v>511036.81</v>
      </c>
      <c r="N29" s="33">
        <v>532029.24</v>
      </c>
      <c r="O29" s="33">
        <f t="shared" ref="O29:O43" si="6">SUM(I29:N29)</f>
        <v>2271713.5</v>
      </c>
      <c r="P29" s="34">
        <f>O29/O44</f>
        <v>0.3658999997200641</v>
      </c>
      <c r="Q29" s="31"/>
      <c r="R29" s="37"/>
    </row>
    <row r="30" spans="2:18">
      <c r="B30" s="8" t="s">
        <v>30</v>
      </c>
      <c r="C30" s="35">
        <f>74950.69-C37</f>
        <v>70153.95</v>
      </c>
      <c r="D30" s="36">
        <f>81534.13-D37</f>
        <v>70843.75</v>
      </c>
      <c r="E30" s="36">
        <f>71499.92-E37</f>
        <v>70173.95</v>
      </c>
      <c r="F30" s="36">
        <f>117796.51-F37</f>
        <v>80374.899999999994</v>
      </c>
      <c r="G30" s="36">
        <v>78514.48</v>
      </c>
      <c r="H30" s="36">
        <v>75545.600000000006</v>
      </c>
      <c r="I30" s="33">
        <v>61335.43</v>
      </c>
      <c r="J30" s="126">
        <v>55098.21</v>
      </c>
      <c r="K30" s="126">
        <v>50882.58</v>
      </c>
      <c r="L30" s="33">
        <v>49518.5</v>
      </c>
      <c r="M30" s="33">
        <v>57327.66</v>
      </c>
      <c r="N30" s="33">
        <v>69084.88</v>
      </c>
      <c r="O30" s="33">
        <f t="shared" si="6"/>
        <v>343247.26</v>
      </c>
      <c r="P30" s="34">
        <f>O30/O44</f>
        <v>5.5286096744995697E-2</v>
      </c>
      <c r="Q30" s="31"/>
      <c r="R30" s="37"/>
    </row>
    <row r="31" spans="2:18">
      <c r="B31" s="8" t="s">
        <v>31</v>
      </c>
      <c r="C31" s="30">
        <v>405118.12</v>
      </c>
      <c r="D31" s="30">
        <v>440091.15</v>
      </c>
      <c r="E31" s="30">
        <v>569694.53</v>
      </c>
      <c r="F31" s="30">
        <v>371162.01</v>
      </c>
      <c r="G31" s="10">
        <v>254233.42</v>
      </c>
      <c r="H31" s="10">
        <v>213713.49</v>
      </c>
      <c r="I31" s="6">
        <v>307955.83</v>
      </c>
      <c r="J31" s="127">
        <v>225499.66</v>
      </c>
      <c r="K31" s="127">
        <v>249429.79</v>
      </c>
      <c r="L31" s="6">
        <v>223127.24</v>
      </c>
      <c r="M31" s="6">
        <v>316816.71999999997</v>
      </c>
      <c r="N31" s="6">
        <v>266298.61</v>
      </c>
      <c r="O31" s="33">
        <f t="shared" si="6"/>
        <v>1589127.85</v>
      </c>
      <c r="P31" s="34">
        <f>O31/O44</f>
        <v>0.25595739950048546</v>
      </c>
      <c r="Q31" s="31"/>
      <c r="R31" s="37"/>
    </row>
    <row r="32" spans="2:18">
      <c r="B32" s="8" t="s">
        <v>32</v>
      </c>
      <c r="C32" s="30">
        <v>3896.3</v>
      </c>
      <c r="D32" s="30">
        <v>16855</v>
      </c>
      <c r="E32" s="30">
        <v>4311.9799999999996</v>
      </c>
      <c r="F32" s="30">
        <v>4362.75</v>
      </c>
      <c r="G32" s="10">
        <v>0</v>
      </c>
      <c r="H32" s="10">
        <v>0</v>
      </c>
      <c r="I32" s="6">
        <v>4330.3500000000004</v>
      </c>
      <c r="J32" s="127">
        <v>6409.61</v>
      </c>
      <c r="K32" s="127">
        <v>8887.24</v>
      </c>
      <c r="L32" s="6">
        <v>14939.34</v>
      </c>
      <c r="M32" s="6">
        <v>12526.62</v>
      </c>
      <c r="N32" s="6">
        <v>8343.14</v>
      </c>
      <c r="O32" s="33">
        <f t="shared" si="6"/>
        <v>55436.299999999996</v>
      </c>
      <c r="P32" s="34">
        <f>O32/O44</f>
        <v>8.9290054201295148E-3</v>
      </c>
      <c r="Q32" s="31"/>
    </row>
    <row r="33" spans="2:18">
      <c r="B33" s="8" t="s">
        <v>33</v>
      </c>
      <c r="C33" s="22">
        <v>35836.74</v>
      </c>
      <c r="D33" s="22">
        <v>30866.32</v>
      </c>
      <c r="E33" s="22">
        <v>42858.15</v>
      </c>
      <c r="F33" s="22">
        <v>32223.87</v>
      </c>
      <c r="G33" s="18">
        <v>24887.759999999998</v>
      </c>
      <c r="H33" s="18">
        <v>26800.240000000002</v>
      </c>
      <c r="I33" s="21">
        <v>22513.54</v>
      </c>
      <c r="J33" s="123">
        <v>21056.85</v>
      </c>
      <c r="K33" s="123">
        <v>19892.21</v>
      </c>
      <c r="L33" s="21">
        <v>31571.79</v>
      </c>
      <c r="M33" s="21">
        <v>20681.080000000002</v>
      </c>
      <c r="N33" s="21">
        <v>80489.3</v>
      </c>
      <c r="O33" s="33">
        <f t="shared" si="6"/>
        <v>196204.77000000002</v>
      </c>
      <c r="P33" s="34">
        <f>O33/O44</f>
        <v>3.1602279639609154E-2</v>
      </c>
      <c r="Q33" s="31"/>
    </row>
    <row r="34" spans="2:18">
      <c r="B34" s="8" t="s">
        <v>34</v>
      </c>
      <c r="C34" s="22">
        <v>295590.5</v>
      </c>
      <c r="D34" s="22">
        <v>292502.58</v>
      </c>
      <c r="E34" s="22">
        <v>258750.94</v>
      </c>
      <c r="F34" s="22">
        <v>300540.78000000003</v>
      </c>
      <c r="G34" s="18">
        <v>290952.87</v>
      </c>
      <c r="H34" s="18">
        <v>263590.73</v>
      </c>
      <c r="I34" s="21">
        <v>202219.71</v>
      </c>
      <c r="J34" s="123">
        <v>207788.96</v>
      </c>
      <c r="K34" s="123">
        <v>146247.04000000001</v>
      </c>
      <c r="L34" s="21">
        <v>135081.01999999999</v>
      </c>
      <c r="M34" s="21">
        <v>187754.83</v>
      </c>
      <c r="N34" s="21">
        <v>286875.28000000003</v>
      </c>
      <c r="O34" s="33">
        <f t="shared" si="6"/>
        <v>1165966.8399999999</v>
      </c>
      <c r="P34" s="34">
        <f>O34/O44</f>
        <v>0.18779976719317995</v>
      </c>
      <c r="Q34" s="31"/>
      <c r="R34" s="37"/>
    </row>
    <row r="35" spans="2:18">
      <c r="B35" s="8" t="s">
        <v>35</v>
      </c>
      <c r="C35" s="22">
        <v>62493.13</v>
      </c>
      <c r="D35" s="22">
        <v>32126.82</v>
      </c>
      <c r="E35" s="22">
        <v>38262.54</v>
      </c>
      <c r="F35" s="22">
        <v>26961.81</v>
      </c>
      <c r="G35" s="18">
        <v>59665.120000000003</v>
      </c>
      <c r="H35" s="18">
        <v>18906.54</v>
      </c>
      <c r="I35" s="21">
        <v>52522.09</v>
      </c>
      <c r="J35" s="123">
        <v>6800</v>
      </c>
      <c r="K35" s="123">
        <v>1200</v>
      </c>
      <c r="L35" s="21">
        <v>24593.599999999999</v>
      </c>
      <c r="M35" s="21">
        <v>13936.17</v>
      </c>
      <c r="N35" s="21">
        <v>24403.71</v>
      </c>
      <c r="O35" s="33">
        <f t="shared" si="6"/>
        <v>123455.57</v>
      </c>
      <c r="P35" s="34">
        <f>O35/O44</f>
        <v>1.988472271192664E-2</v>
      </c>
      <c r="Q35" s="31"/>
    </row>
    <row r="36" spans="2:18">
      <c r="B36" s="8" t="s">
        <v>36</v>
      </c>
      <c r="C36" s="22">
        <v>21273.91</v>
      </c>
      <c r="D36" s="22">
        <v>47897.1</v>
      </c>
      <c r="E36" s="22">
        <v>6431.82</v>
      </c>
      <c r="F36" s="22">
        <v>188946.69</v>
      </c>
      <c r="G36" s="18">
        <v>221509.56</v>
      </c>
      <c r="H36" s="18">
        <v>121317.42</v>
      </c>
      <c r="I36" s="21">
        <v>78976.75</v>
      </c>
      <c r="J36" s="123">
        <v>63756.22</v>
      </c>
      <c r="K36" s="123">
        <v>42547.519999999997</v>
      </c>
      <c r="L36" s="21">
        <v>0</v>
      </c>
      <c r="M36" s="21">
        <v>45258.78</v>
      </c>
      <c r="N36" s="21">
        <v>50057.93</v>
      </c>
      <c r="O36" s="33">
        <f t="shared" si="6"/>
        <v>280597.2</v>
      </c>
      <c r="P36" s="34">
        <f>O36/O44</f>
        <v>4.5195186541547069E-2</v>
      </c>
      <c r="Q36" s="31"/>
      <c r="R36" s="31"/>
    </row>
    <row r="37" spans="2:18">
      <c r="B37" s="8" t="s">
        <v>59</v>
      </c>
      <c r="C37" s="38">
        <v>4796.74</v>
      </c>
      <c r="D37" s="38">
        <v>10690.380000000001</v>
      </c>
      <c r="E37" s="38">
        <v>1325.97</v>
      </c>
      <c r="F37" s="22">
        <f>29.62+79.94+215.18+242.53+277.78+297.34+333.98+443.91+517.15+545.29+545.39+588.16+675.7+740.82+815.71+843.21+917.35+1156.97+1158.92+1194.35+1204.03+1240.24+1247.83+1281.36+1283.55+1285.88+1352.64+1353.91+1451.12+1500.78+1509.48+1578.25+1656.53+1779.69+1867.25+2081.53+2128.24</f>
        <v>37421.609999999993</v>
      </c>
      <c r="G37" s="18">
        <v>52898.71</v>
      </c>
      <c r="H37" s="18">
        <v>32720.34</v>
      </c>
      <c r="I37" s="21">
        <v>27701.57</v>
      </c>
      <c r="J37" s="123">
        <v>16174.46</v>
      </c>
      <c r="K37" s="123">
        <v>9595.09</v>
      </c>
      <c r="L37" s="21">
        <v>678.8</v>
      </c>
      <c r="M37" s="21">
        <v>8570.39</v>
      </c>
      <c r="N37" s="21">
        <v>10288.200000000001</v>
      </c>
      <c r="O37" s="33">
        <f t="shared" si="6"/>
        <v>73008.509999999995</v>
      </c>
      <c r="P37" s="34">
        <f>O37/O44</f>
        <v>1.1759323430776942E-2</v>
      </c>
      <c r="Q37" s="31"/>
      <c r="R37" s="31"/>
    </row>
    <row r="38" spans="2:18">
      <c r="B38" s="8" t="s">
        <v>37</v>
      </c>
      <c r="C38" s="22">
        <v>5195.9799999999996</v>
      </c>
      <c r="D38" s="22">
        <v>5196</v>
      </c>
      <c r="E38" s="22">
        <v>5195.9799999999996</v>
      </c>
      <c r="F38" s="22">
        <v>5000</v>
      </c>
      <c r="G38" s="18">
        <v>0</v>
      </c>
      <c r="H38" s="18">
        <v>5000</v>
      </c>
      <c r="I38" s="21">
        <v>5000</v>
      </c>
      <c r="J38" s="123">
        <v>5000</v>
      </c>
      <c r="K38" s="123">
        <v>5000</v>
      </c>
      <c r="L38" s="21">
        <v>5000</v>
      </c>
      <c r="M38" s="21">
        <v>5000</v>
      </c>
      <c r="N38" s="21">
        <v>5000</v>
      </c>
      <c r="O38" s="33">
        <f t="shared" si="6"/>
        <v>30000</v>
      </c>
      <c r="P38" s="34">
        <f>O38/O44</f>
        <v>4.8320353740037743E-3</v>
      </c>
      <c r="Q38" s="31"/>
      <c r="R38" s="31"/>
    </row>
    <row r="39" spans="2:18">
      <c r="B39" s="8" t="s">
        <v>38</v>
      </c>
      <c r="C39" s="22">
        <v>0</v>
      </c>
      <c r="D39" s="22">
        <v>1400</v>
      </c>
      <c r="E39" s="22">
        <v>280</v>
      </c>
      <c r="F39" s="22">
        <v>0</v>
      </c>
      <c r="G39" s="18">
        <v>50</v>
      </c>
      <c r="H39" s="18">
        <v>0</v>
      </c>
      <c r="I39" s="21">
        <v>0</v>
      </c>
      <c r="J39" s="123">
        <v>50</v>
      </c>
      <c r="K39" s="123">
        <v>0</v>
      </c>
      <c r="L39" s="21">
        <v>50</v>
      </c>
      <c r="M39" s="21">
        <v>50</v>
      </c>
      <c r="N39" s="21">
        <v>0</v>
      </c>
      <c r="O39" s="33">
        <f t="shared" si="6"/>
        <v>150</v>
      </c>
      <c r="P39" s="34">
        <f>O39/O44</f>
        <v>2.4160176870018874E-5</v>
      </c>
      <c r="Q39" s="31"/>
      <c r="R39" s="31"/>
    </row>
    <row r="40" spans="2:18">
      <c r="B40" s="8" t="s">
        <v>39</v>
      </c>
      <c r="C40" s="22">
        <v>718.02</v>
      </c>
      <c r="D40" s="22">
        <v>718.02</v>
      </c>
      <c r="E40" s="22">
        <v>718.02</v>
      </c>
      <c r="F40" s="22">
        <v>718.02</v>
      </c>
      <c r="G40" s="18">
        <v>718.02</v>
      </c>
      <c r="H40" s="18">
        <v>718.02</v>
      </c>
      <c r="I40" s="21">
        <v>1436.04</v>
      </c>
      <c r="J40" s="123">
        <v>0</v>
      </c>
      <c r="K40" s="123">
        <v>0</v>
      </c>
      <c r="L40" s="21">
        <v>0</v>
      </c>
      <c r="M40" s="21">
        <v>0</v>
      </c>
      <c r="N40" s="21">
        <v>0</v>
      </c>
      <c r="O40" s="33">
        <f t="shared" si="6"/>
        <v>1436.04</v>
      </c>
      <c r="P40" s="34">
        <f>O40/O44</f>
        <v>2.3129986928281267E-4</v>
      </c>
      <c r="Q40" s="31"/>
      <c r="R40" s="31"/>
    </row>
    <row r="41" spans="2:18">
      <c r="B41" s="129" t="s">
        <v>79</v>
      </c>
      <c r="C41" s="129" t="s">
        <v>79</v>
      </c>
      <c r="D41" s="129" t="s">
        <v>79</v>
      </c>
      <c r="E41" s="129" t="s">
        <v>79</v>
      </c>
      <c r="F41" s="22"/>
      <c r="G41" s="18"/>
      <c r="H41" s="18"/>
      <c r="I41" s="21">
        <v>0</v>
      </c>
      <c r="J41" s="123">
        <v>0</v>
      </c>
      <c r="K41" s="128">
        <v>5240</v>
      </c>
      <c r="L41" s="21">
        <v>0</v>
      </c>
      <c r="M41" s="21">
        <v>0</v>
      </c>
      <c r="N41" s="21">
        <v>0</v>
      </c>
      <c r="O41" s="33">
        <f t="shared" si="6"/>
        <v>5240</v>
      </c>
      <c r="P41" s="34"/>
      <c r="Q41" s="31"/>
      <c r="R41" s="31"/>
    </row>
    <row r="42" spans="2:18">
      <c r="B42" s="8" t="s">
        <v>40</v>
      </c>
      <c r="C42" s="22">
        <v>0</v>
      </c>
      <c r="D42" s="22">
        <v>0</v>
      </c>
      <c r="E42" s="22">
        <v>0</v>
      </c>
      <c r="F42" s="22">
        <v>0</v>
      </c>
      <c r="G42" s="22">
        <v>5000</v>
      </c>
      <c r="H42" s="18">
        <v>0</v>
      </c>
      <c r="I42" s="21">
        <v>0</v>
      </c>
      <c r="J42" s="128">
        <v>0</v>
      </c>
      <c r="K42" s="128">
        <v>0</v>
      </c>
      <c r="L42" s="21">
        <v>390</v>
      </c>
      <c r="M42" s="21">
        <v>0</v>
      </c>
      <c r="N42" s="21">
        <v>0</v>
      </c>
      <c r="O42" s="33">
        <f t="shared" si="6"/>
        <v>390</v>
      </c>
      <c r="P42" s="34">
        <f>O42/O44</f>
        <v>6.2816459862049065E-5</v>
      </c>
      <c r="Q42" s="31"/>
      <c r="R42" s="31"/>
    </row>
    <row r="43" spans="2:18" ht="15.75" thickBot="1">
      <c r="B43" s="25" t="s">
        <v>41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33">
        <f t="shared" si="6"/>
        <v>0</v>
      </c>
      <c r="P43" s="73">
        <f>O43/O44</f>
        <v>0</v>
      </c>
      <c r="Q43" s="31"/>
      <c r="R43" s="39"/>
    </row>
    <row r="44" spans="2:18" ht="15.75" thickBot="1">
      <c r="B44" s="74" t="s">
        <v>42</v>
      </c>
      <c r="C44" s="75">
        <f>SUM(C28:C43)</f>
        <v>1411211.2199999997</v>
      </c>
      <c r="D44" s="75">
        <f>SUM(D28:D43)</f>
        <v>1459781.3</v>
      </c>
      <c r="E44" s="75">
        <f>SUM(E28:E43)</f>
        <v>1437814.73</v>
      </c>
      <c r="F44" s="75">
        <f>F28+F29+F30+F31+F32+F33+F34+F35+F36+F38+F39+F40+F42+F43+F37</f>
        <v>1607715.2500000002</v>
      </c>
      <c r="G44" s="75">
        <f>SUM(G28:G43)</f>
        <v>1517504.2400000002</v>
      </c>
      <c r="H44" s="75">
        <f>SUM(H28:H43)</f>
        <v>1199954.31</v>
      </c>
      <c r="I44" s="75">
        <f t="shared" ref="I44:N44" si="7">SUM(I28:I43)</f>
        <v>1140011.6000000001</v>
      </c>
      <c r="J44" s="75">
        <f t="shared" si="7"/>
        <v>868045.14999999991</v>
      </c>
      <c r="K44" s="75">
        <f t="shared" si="7"/>
        <v>852367.23</v>
      </c>
      <c r="L44" s="75">
        <f t="shared" si="7"/>
        <v>804952.13000000012</v>
      </c>
      <c r="M44" s="75">
        <f t="shared" si="7"/>
        <v>1190892.9099999997</v>
      </c>
      <c r="N44" s="75">
        <f t="shared" si="7"/>
        <v>1352294.7999999998</v>
      </c>
      <c r="O44" s="76">
        <f>SUM(I44:N44)</f>
        <v>6208563.8199999994</v>
      </c>
      <c r="P44" s="77">
        <f>SUM(P28:P43)</f>
        <v>0.99915600448800734</v>
      </c>
      <c r="R44" s="37"/>
    </row>
    <row r="45" spans="2:18" ht="15" customHeight="1" thickBot="1">
      <c r="B45" s="14" t="s">
        <v>43</v>
      </c>
      <c r="C45" s="64">
        <v>2000</v>
      </c>
      <c r="D45" s="64">
        <v>0</v>
      </c>
      <c r="E45" s="64">
        <v>2000</v>
      </c>
      <c r="F45" s="64">
        <v>0</v>
      </c>
      <c r="G45" s="64">
        <v>2000</v>
      </c>
      <c r="H45" s="64">
        <v>0</v>
      </c>
      <c r="I45" s="64">
        <v>0</v>
      </c>
      <c r="J45" s="64">
        <v>0</v>
      </c>
      <c r="K45" s="64">
        <v>2000</v>
      </c>
      <c r="L45" s="64">
        <v>2000</v>
      </c>
      <c r="M45" s="64">
        <v>0</v>
      </c>
      <c r="N45" s="64">
        <v>0</v>
      </c>
      <c r="O45" s="69">
        <f>SUM(I45:N45)</f>
        <v>4000</v>
      </c>
      <c r="P45" s="165"/>
      <c r="Q45" s="37"/>
      <c r="R45" s="31"/>
    </row>
    <row r="46" spans="2:18" ht="20.100000000000001" customHeight="1" thickBot="1">
      <c r="B46" s="70" t="s">
        <v>44</v>
      </c>
      <c r="C46" s="71">
        <f>SUM(C44:C45)</f>
        <v>1413211.2199999997</v>
      </c>
      <c r="D46" s="71">
        <f>D44+D45</f>
        <v>1459781.3</v>
      </c>
      <c r="E46" s="71">
        <f>E44+E45</f>
        <v>1439814.73</v>
      </c>
      <c r="F46" s="71">
        <f>F44+F45</f>
        <v>1607715.2500000002</v>
      </c>
      <c r="G46" s="71">
        <f>G44+G45</f>
        <v>1519504.2400000002</v>
      </c>
      <c r="H46" s="71">
        <f>SUM(H44:H45)</f>
        <v>1199954.31</v>
      </c>
      <c r="I46" s="71">
        <f t="shared" ref="I46:N46" si="8">SUM(I44:I45)</f>
        <v>1140011.6000000001</v>
      </c>
      <c r="J46" s="71">
        <f t="shared" si="8"/>
        <v>868045.14999999991</v>
      </c>
      <c r="K46" s="71">
        <f t="shared" si="8"/>
        <v>854367.23</v>
      </c>
      <c r="L46" s="71">
        <f t="shared" si="8"/>
        <v>806952.13000000012</v>
      </c>
      <c r="M46" s="71">
        <f t="shared" si="8"/>
        <v>1190892.9099999997</v>
      </c>
      <c r="N46" s="71">
        <f t="shared" si="8"/>
        <v>1352294.7999999998</v>
      </c>
      <c r="O46" s="72">
        <f>SUM(I46:N46)</f>
        <v>6212563.8199999994</v>
      </c>
      <c r="P46" s="166"/>
      <c r="R46" s="31"/>
    </row>
    <row r="47" spans="2:18" ht="20.100000000000001" customHeight="1" thickBot="1">
      <c r="B47" s="141" t="s">
        <v>45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8" ht="20.100000000000001" customHeight="1" thickBot="1">
      <c r="B48" s="68" t="s">
        <v>46</v>
      </c>
      <c r="C48" s="63">
        <v>0</v>
      </c>
      <c r="D48" s="63">
        <v>1441048.3</v>
      </c>
      <c r="E48" s="63">
        <v>931342.53</v>
      </c>
      <c r="F48" s="64">
        <v>784624.52</v>
      </c>
      <c r="G48" s="64">
        <v>478458.97</v>
      </c>
      <c r="H48" s="64">
        <v>1045740.09</v>
      </c>
      <c r="I48" s="64">
        <v>1075806.6100000001</v>
      </c>
      <c r="J48" s="64">
        <v>1345665.72</v>
      </c>
      <c r="K48" s="64">
        <v>1108622.77</v>
      </c>
      <c r="L48" s="64">
        <v>1981385.97</v>
      </c>
      <c r="M48" s="64">
        <v>2409577.58</v>
      </c>
      <c r="N48" s="64">
        <v>1678837.74</v>
      </c>
      <c r="O48" s="64">
        <f>SUM(I48:N48)</f>
        <v>9599896.3900000006</v>
      </c>
      <c r="P48" s="137"/>
    </row>
    <row r="49" spans="2:18" ht="20.100000000000001" customHeight="1" thickBot="1">
      <c r="B49" s="145" t="s">
        <v>47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7"/>
      <c r="P49" s="138"/>
      <c r="Q49" s="13"/>
    </row>
    <row r="50" spans="2:18" ht="20.100000000000001" customHeight="1" thickBot="1">
      <c r="B50" s="65" t="s">
        <v>48</v>
      </c>
      <c r="C50" s="66">
        <f>C11+C21+C26-C46</f>
        <v>258393.26000000071</v>
      </c>
      <c r="D50" s="66">
        <f>D11+D21+D26-D46-D48</f>
        <v>1300006.8800000006</v>
      </c>
      <c r="E50" s="66">
        <f>E11+E21+E26-E46-E48</f>
        <v>1364493.36</v>
      </c>
      <c r="F50" s="66">
        <f>F11+F21+F26-F46-F48</f>
        <v>1261397.3999999997</v>
      </c>
      <c r="G50" s="66">
        <f>G11+G21+G26-G46-G48</f>
        <v>792264.62999999966</v>
      </c>
      <c r="H50" s="67">
        <f>H11+H21+H26-H46-H48</f>
        <v>641789.78999999992</v>
      </c>
      <c r="I50" s="67">
        <f t="shared" ref="I50:N50" si="9">I11+I21+I26-I46-I48</f>
        <v>592704.95999999973</v>
      </c>
      <c r="J50" s="67">
        <f t="shared" si="9"/>
        <v>823491.54000000027</v>
      </c>
      <c r="K50" s="67">
        <f t="shared" si="9"/>
        <v>1078800.3799999999</v>
      </c>
      <c r="L50" s="67">
        <f t="shared" si="9"/>
        <v>1375070.4400000002</v>
      </c>
      <c r="M50" s="67">
        <f t="shared" si="9"/>
        <v>1279496.310000001</v>
      </c>
      <c r="N50" s="67">
        <f t="shared" si="9"/>
        <v>1578235.3600000006</v>
      </c>
      <c r="O50" s="117">
        <f>SUM(I50:N50)</f>
        <v>6727798.9900000012</v>
      </c>
      <c r="P50" s="139"/>
      <c r="Q50" s="31"/>
    </row>
    <row r="51" spans="2:18" ht="20.100000000000001" customHeight="1" thickBot="1">
      <c r="B51" s="141" t="s">
        <v>49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  <c r="Q51" s="31"/>
    </row>
    <row r="52" spans="2:18" ht="15.75" customHeight="1">
      <c r="B52" s="19" t="s">
        <v>50</v>
      </c>
      <c r="C52" s="40">
        <v>150000</v>
      </c>
      <c r="D52" s="40">
        <v>1100000</v>
      </c>
      <c r="E52" s="40">
        <v>1020000</v>
      </c>
      <c r="F52" s="41">
        <v>1480000</v>
      </c>
      <c r="G52" s="41">
        <v>1120000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0">
        <f>SUM(I52:N52)</f>
        <v>0</v>
      </c>
      <c r="P52" s="140"/>
      <c r="Q52" s="31"/>
      <c r="R52" s="42"/>
    </row>
    <row r="53" spans="2:18" ht="16.5" customHeight="1" thickBot="1">
      <c r="B53" s="43" t="s">
        <v>51</v>
      </c>
      <c r="C53" s="44">
        <v>150000</v>
      </c>
      <c r="D53" s="60">
        <v>1100000</v>
      </c>
      <c r="E53" s="60">
        <v>1020000</v>
      </c>
      <c r="F53" s="61">
        <v>1480000</v>
      </c>
      <c r="G53" s="45">
        <v>1120000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62">
        <f>SUM(I53:N53)</f>
        <v>0</v>
      </c>
      <c r="P53" s="140"/>
      <c r="Q53" s="31"/>
      <c r="R53" s="42"/>
    </row>
    <row r="54" spans="2:18" ht="20.100000000000001" customHeight="1" thickBot="1">
      <c r="B54" s="141" t="s">
        <v>52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3"/>
      <c r="Q54" s="31"/>
      <c r="R54" s="37"/>
    </row>
    <row r="55" spans="2:18" ht="15.75" customHeight="1">
      <c r="B55" s="53" t="s">
        <v>7</v>
      </c>
      <c r="C55" s="54">
        <v>43861</v>
      </c>
      <c r="D55" s="55">
        <v>43889</v>
      </c>
      <c r="E55" s="56">
        <v>43921</v>
      </c>
      <c r="F55" s="56">
        <v>43951</v>
      </c>
      <c r="G55" s="56">
        <v>43982</v>
      </c>
      <c r="H55" s="56">
        <v>44012</v>
      </c>
      <c r="I55" s="56">
        <v>44043</v>
      </c>
      <c r="J55" s="56">
        <v>44074</v>
      </c>
      <c r="K55" s="56">
        <v>44104</v>
      </c>
      <c r="L55" s="56">
        <v>44135</v>
      </c>
      <c r="M55" s="56">
        <v>44165</v>
      </c>
      <c r="N55" s="118">
        <v>44196</v>
      </c>
      <c r="O55" s="155"/>
      <c r="P55" s="156"/>
      <c r="Q55" s="31"/>
    </row>
    <row r="56" spans="2:18" ht="15.75" customHeight="1">
      <c r="B56" s="49" t="s">
        <v>62</v>
      </c>
      <c r="C56" s="9">
        <v>5492.66</v>
      </c>
      <c r="D56" s="9">
        <v>2899.24</v>
      </c>
      <c r="E56" s="9">
        <v>4517.21</v>
      </c>
      <c r="F56" s="11">
        <v>2203.88</v>
      </c>
      <c r="G56" s="9">
        <v>3349.84</v>
      </c>
      <c r="H56" s="9">
        <v>3262.15</v>
      </c>
      <c r="I56" s="9">
        <v>3162.15</v>
      </c>
      <c r="J56" s="121">
        <v>2872.86</v>
      </c>
      <c r="K56" s="121">
        <v>3453.48</v>
      </c>
      <c r="L56" s="9">
        <v>4687.5600000000004</v>
      </c>
      <c r="M56" s="9">
        <v>4281.9399999999996</v>
      </c>
      <c r="N56" s="4">
        <v>2721.47</v>
      </c>
      <c r="O56" s="157"/>
      <c r="P56" s="158"/>
      <c r="Q56" s="31"/>
    </row>
    <row r="57" spans="2:18" ht="15" customHeight="1">
      <c r="B57" s="8" t="s">
        <v>61</v>
      </c>
      <c r="C57" s="11">
        <v>100.32</v>
      </c>
      <c r="D57" s="11">
        <v>100.47</v>
      </c>
      <c r="E57" s="11">
        <v>100.63</v>
      </c>
      <c r="F57" s="11">
        <v>100.75</v>
      </c>
      <c r="G57" s="11">
        <v>100.71</v>
      </c>
      <c r="H57" s="11">
        <v>100.77</v>
      </c>
      <c r="I57" s="11">
        <v>100.79</v>
      </c>
      <c r="J57" s="122">
        <v>100.81</v>
      </c>
      <c r="K57" s="122">
        <v>100.82</v>
      </c>
      <c r="L57" s="11">
        <v>100.84</v>
      </c>
      <c r="M57" s="11">
        <v>100.83</v>
      </c>
      <c r="N57" s="12">
        <v>100.83</v>
      </c>
      <c r="O57" s="157"/>
      <c r="P57" s="158"/>
    </row>
    <row r="58" spans="2:18" ht="15" customHeight="1">
      <c r="B58" s="119" t="s">
        <v>78</v>
      </c>
      <c r="C58" s="9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13117.9</v>
      </c>
      <c r="I58" s="11">
        <v>19967.36</v>
      </c>
      <c r="J58" s="122">
        <v>0</v>
      </c>
      <c r="K58" s="122">
        <v>0</v>
      </c>
      <c r="L58" s="11">
        <v>0</v>
      </c>
      <c r="M58" s="11">
        <v>0</v>
      </c>
      <c r="N58" s="12">
        <v>0</v>
      </c>
      <c r="O58" s="157"/>
      <c r="P58" s="158"/>
      <c r="Q58" s="31"/>
    </row>
    <row r="59" spans="2:18" ht="15" customHeight="1">
      <c r="B59" s="49" t="s">
        <v>60</v>
      </c>
      <c r="C59" s="11">
        <v>100204.85</v>
      </c>
      <c r="D59" s="11">
        <v>139973.79</v>
      </c>
      <c r="E59" s="11">
        <v>101137.2</v>
      </c>
      <c r="F59" s="11">
        <v>98683.6</v>
      </c>
      <c r="G59" s="11">
        <v>7127.53</v>
      </c>
      <c r="H59" s="11">
        <v>20155.38</v>
      </c>
      <c r="I59" s="11">
        <v>12530.75</v>
      </c>
      <c r="J59" s="122">
        <v>20207.68</v>
      </c>
      <c r="K59" s="122">
        <v>74355.22</v>
      </c>
      <c r="L59" s="11">
        <v>68573.06</v>
      </c>
      <c r="M59" s="11">
        <v>12405.54</v>
      </c>
      <c r="N59" s="12">
        <v>543423.97</v>
      </c>
      <c r="O59" s="157"/>
      <c r="P59" s="158"/>
      <c r="Q59" s="31"/>
    </row>
    <row r="60" spans="2:18" ht="15" customHeight="1" thickBot="1">
      <c r="B60" s="3" t="s">
        <v>2</v>
      </c>
      <c r="C60" s="5">
        <v>1155466.43</v>
      </c>
      <c r="D60" s="7">
        <v>1157033.3799999999</v>
      </c>
      <c r="E60" s="7">
        <v>1258738.32</v>
      </c>
      <c r="F60" s="7">
        <v>1160409.17</v>
      </c>
      <c r="G60" s="7">
        <v>781686.55</v>
      </c>
      <c r="H60" s="7">
        <v>605153.59</v>
      </c>
      <c r="I60" s="7">
        <v>556943.91</v>
      </c>
      <c r="J60" s="120">
        <v>800310.19</v>
      </c>
      <c r="K60" s="122">
        <v>1000890.86</v>
      </c>
      <c r="L60" s="7">
        <v>1301708.98</v>
      </c>
      <c r="M60" s="7">
        <v>1262708</v>
      </c>
      <c r="N60" s="115">
        <v>1031989.09</v>
      </c>
      <c r="O60" s="157"/>
      <c r="P60" s="158"/>
      <c r="Q60" s="31"/>
    </row>
    <row r="61" spans="2:18" ht="15" customHeight="1" thickBot="1">
      <c r="B61" s="57" t="s">
        <v>53</v>
      </c>
      <c r="C61" s="58">
        <f>C56+C57+C59+C60</f>
        <v>1261264.26</v>
      </c>
      <c r="D61" s="58">
        <f>SUM(D56:D60)</f>
        <v>1300006.8799999999</v>
      </c>
      <c r="E61" s="58">
        <f>SUM(E56:E60)</f>
        <v>1364493.36</v>
      </c>
      <c r="F61" s="58">
        <f>SUM(F56:F60)</f>
        <v>1261397.3999999999</v>
      </c>
      <c r="G61" s="58">
        <f>SUM(G56:G60)</f>
        <v>792264.63</v>
      </c>
      <c r="H61" s="59">
        <f>SUM(H56:H60)</f>
        <v>641789.78999999992</v>
      </c>
      <c r="I61" s="59">
        <f t="shared" ref="I61:N61" si="10">SUM(I56:I60)</f>
        <v>592704.96000000008</v>
      </c>
      <c r="J61" s="59">
        <f t="shared" si="10"/>
        <v>823491.53999999992</v>
      </c>
      <c r="K61" s="59">
        <f t="shared" si="10"/>
        <v>1078800.3799999999</v>
      </c>
      <c r="L61" s="59">
        <f t="shared" si="10"/>
        <v>1375070.44</v>
      </c>
      <c r="M61" s="59">
        <f t="shared" si="10"/>
        <v>1279496.31</v>
      </c>
      <c r="N61" s="59">
        <f t="shared" si="10"/>
        <v>1578235.3599999999</v>
      </c>
      <c r="O61" s="157"/>
      <c r="P61" s="158"/>
      <c r="Q61" s="31"/>
    </row>
    <row r="62" spans="2:18" ht="15.75" customHeight="1" thickBot="1">
      <c r="B62" s="46" t="s">
        <v>54</v>
      </c>
      <c r="C62" s="47">
        <f>C50-C61</f>
        <v>-1002870.9999999993</v>
      </c>
      <c r="D62" s="47">
        <f>D50-D61</f>
        <v>0</v>
      </c>
      <c r="E62" s="47">
        <f t="shared" ref="E62:N62" si="11">E50-E61</f>
        <v>0</v>
      </c>
      <c r="F62" s="47">
        <f>F50-F61</f>
        <v>0</v>
      </c>
      <c r="G62" s="48">
        <f t="shared" si="11"/>
        <v>0</v>
      </c>
      <c r="H62" s="47">
        <f t="shared" si="11"/>
        <v>0</v>
      </c>
      <c r="I62" s="47">
        <f t="shared" si="11"/>
        <v>0</v>
      </c>
      <c r="J62" s="47">
        <f t="shared" si="11"/>
        <v>0</v>
      </c>
      <c r="K62" s="47">
        <f t="shared" si="11"/>
        <v>0</v>
      </c>
      <c r="L62" s="47">
        <f t="shared" si="11"/>
        <v>0</v>
      </c>
      <c r="M62" s="47">
        <f t="shared" si="11"/>
        <v>0</v>
      </c>
      <c r="N62" s="47">
        <f t="shared" si="11"/>
        <v>0</v>
      </c>
      <c r="O62" s="159"/>
      <c r="P62" s="160"/>
    </row>
    <row r="63" spans="2:18">
      <c r="B63" s="2" t="s">
        <v>55</v>
      </c>
    </row>
  </sheetData>
  <mergeCells count="28">
    <mergeCell ref="B2:P3"/>
    <mergeCell ref="O55:P62"/>
    <mergeCell ref="B51:P51"/>
    <mergeCell ref="B54:P54"/>
    <mergeCell ref="B4:B5"/>
    <mergeCell ref="C4:C5"/>
    <mergeCell ref="D4:D5"/>
    <mergeCell ref="E4:E5"/>
    <mergeCell ref="F4:F5"/>
    <mergeCell ref="G4:G5"/>
    <mergeCell ref="H4:H5"/>
    <mergeCell ref="P13:P21"/>
    <mergeCell ref="P23:P26"/>
    <mergeCell ref="P45:P46"/>
    <mergeCell ref="I4:I5"/>
    <mergeCell ref="J4:J5"/>
    <mergeCell ref="O4:P11"/>
    <mergeCell ref="P48:P50"/>
    <mergeCell ref="P52:P53"/>
    <mergeCell ref="B12:P12"/>
    <mergeCell ref="B22:P22"/>
    <mergeCell ref="B27:P27"/>
    <mergeCell ref="B47:P47"/>
    <mergeCell ref="K4:K5"/>
    <mergeCell ref="L4:L5"/>
    <mergeCell ref="M4:M5"/>
    <mergeCell ref="N4:N5"/>
    <mergeCell ref="B49:O49"/>
  </mergeCells>
  <pageMargins left="0.51180555555555596" right="0.51180555555555596" top="0.78680555555555598" bottom="0.78680555555555598" header="0.31458333333333299" footer="0.31458333333333299"/>
  <pageSetup paperSize="9" scale="69" orientation="portrait" r:id="rId1"/>
  <ignoredErrors>
    <ignoredError sqref="D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showGridLines="0" workbookViewId="0">
      <selection activeCell="A2" sqref="A2:D17"/>
    </sheetView>
  </sheetViews>
  <sheetFormatPr defaultColWidth="9" defaultRowHeight="15"/>
  <cols>
    <col min="2" max="2" width="33.140625" bestFit="1" customWidth="1"/>
    <col min="3" max="3" width="18.28515625" customWidth="1"/>
  </cols>
  <sheetData>
    <row r="2" spans="2:4" ht="15.75" thickBot="1">
      <c r="B2" s="92"/>
      <c r="C2" s="92"/>
      <c r="D2" s="92"/>
    </row>
    <row r="3" spans="2:4" ht="15.75" thickBot="1">
      <c r="B3" s="167" t="s">
        <v>64</v>
      </c>
      <c r="C3" s="168"/>
      <c r="D3" s="169"/>
    </row>
    <row r="4" spans="2:4">
      <c r="B4" s="95" t="s">
        <v>29</v>
      </c>
      <c r="C4" s="96">
        <f>CORRETA!O29</f>
        <v>2271713.5</v>
      </c>
      <c r="D4" s="170">
        <f>C10/C16</f>
        <v>0.49867751059947074</v>
      </c>
    </row>
    <row r="5" spans="2:4">
      <c r="B5" s="93" t="s">
        <v>56</v>
      </c>
      <c r="C5" s="97">
        <f>CORRETA!O30</f>
        <v>343247.26</v>
      </c>
      <c r="D5" s="171"/>
    </row>
    <row r="6" spans="2:4">
      <c r="B6" s="93" t="s">
        <v>39</v>
      </c>
      <c r="C6" s="97">
        <f>CORRETA!O40</f>
        <v>1436.04</v>
      </c>
      <c r="D6" s="171"/>
    </row>
    <row r="7" spans="2:4">
      <c r="B7" s="93" t="s">
        <v>65</v>
      </c>
      <c r="C7" s="97">
        <f>CORRETA!O35</f>
        <v>123455.57</v>
      </c>
      <c r="D7" s="171"/>
    </row>
    <row r="8" spans="2:4">
      <c r="B8" s="94" t="s">
        <v>36</v>
      </c>
      <c r="C8" s="98">
        <f>CORRETA!O36</f>
        <v>280597.2</v>
      </c>
      <c r="D8" s="171"/>
    </row>
    <row r="9" spans="2:4">
      <c r="B9" s="93" t="s">
        <v>59</v>
      </c>
      <c r="C9" s="97">
        <f>CORRETA!O37</f>
        <v>73008.509999999995</v>
      </c>
      <c r="D9" s="171"/>
    </row>
    <row r="10" spans="2:4">
      <c r="B10" s="99" t="s">
        <v>57</v>
      </c>
      <c r="C10" s="100">
        <f>SUM(C4:C9)</f>
        <v>3093458.0799999996</v>
      </c>
      <c r="D10" s="172"/>
    </row>
    <row r="11" spans="2:4">
      <c r="B11" s="94" t="s">
        <v>66</v>
      </c>
      <c r="C11" s="98">
        <f>CORRETA!O28</f>
        <v>72589.98</v>
      </c>
      <c r="D11" s="110">
        <f>C11/C16</f>
        <v>1.1701787961796261E-2</v>
      </c>
    </row>
    <row r="12" spans="2:4">
      <c r="B12" s="94" t="s">
        <v>58</v>
      </c>
      <c r="C12" s="101">
        <f>CORRETA!O31+CORRETA!O32</f>
        <v>1644564.1500000001</v>
      </c>
      <c r="D12" s="110">
        <f>C12/C16</f>
        <v>0.26511015670305604</v>
      </c>
    </row>
    <row r="13" spans="2:4">
      <c r="B13" s="94" t="s">
        <v>67</v>
      </c>
      <c r="C13" s="101">
        <f>CORRETA!O33</f>
        <v>196204.77000000002</v>
      </c>
      <c r="D13" s="110">
        <f>C13/C16</f>
        <v>3.1628974352011181E-2</v>
      </c>
    </row>
    <row r="14" spans="2:4">
      <c r="B14" s="94" t="s">
        <v>34</v>
      </c>
      <c r="C14" s="101">
        <f>CORRETA!O34</f>
        <v>1165966.8399999999</v>
      </c>
      <c r="D14" s="110">
        <f>C14/C16</f>
        <v>0.18795840324195745</v>
      </c>
    </row>
    <row r="15" spans="2:4">
      <c r="B15" s="94" t="s">
        <v>68</v>
      </c>
      <c r="C15" s="102">
        <f>CORRETA!O38+CORRETA!O39+CORRETA!O42</f>
        <v>30540</v>
      </c>
      <c r="D15" s="110">
        <f>C15/C16</f>
        <v>4.9231671417082328E-3</v>
      </c>
    </row>
    <row r="16" spans="2:4" ht="15.75" thickBot="1">
      <c r="B16" s="103" t="s">
        <v>69</v>
      </c>
      <c r="C16" s="104">
        <f>SUM(C10:C15)</f>
        <v>6203323.8200000003</v>
      </c>
      <c r="D16" s="105">
        <v>1</v>
      </c>
    </row>
    <row r="17" spans="2:4">
      <c r="B17" s="106" t="s">
        <v>70</v>
      </c>
      <c r="C17" s="107"/>
      <c r="D17" s="108"/>
    </row>
    <row r="18" spans="2:4">
      <c r="B18" s="1"/>
    </row>
    <row r="19" spans="2:4">
      <c r="B19" s="99" t="s">
        <v>71</v>
      </c>
      <c r="C19" s="111">
        <v>0.496</v>
      </c>
      <c r="D19" s="109"/>
    </row>
    <row r="20" spans="2:4">
      <c r="B20" s="94" t="s">
        <v>66</v>
      </c>
      <c r="C20" s="112">
        <v>1.7000000000000001E-2</v>
      </c>
      <c r="D20" s="109"/>
    </row>
    <row r="21" spans="2:4">
      <c r="B21" s="94" t="s">
        <v>58</v>
      </c>
      <c r="C21" s="113">
        <v>0.26400000000000001</v>
      </c>
      <c r="D21" s="109"/>
    </row>
    <row r="22" spans="2:4">
      <c r="B22" s="94" t="s">
        <v>67</v>
      </c>
      <c r="C22" s="113">
        <v>2.1999999999999999E-2</v>
      </c>
      <c r="D22" s="109"/>
    </row>
    <row r="23" spans="2:4">
      <c r="B23" s="94" t="s">
        <v>34</v>
      </c>
      <c r="C23" s="113">
        <v>0.19700000000000001</v>
      </c>
      <c r="D23" s="109"/>
    </row>
    <row r="24" spans="2:4">
      <c r="B24" s="94" t="s">
        <v>68</v>
      </c>
      <c r="C24" s="114">
        <v>4.0000000000000001E-3</v>
      </c>
      <c r="D24" s="109"/>
    </row>
  </sheetData>
  <mergeCells count="2">
    <mergeCell ref="B3:D3"/>
    <mergeCell ref="D4:D10"/>
  </mergeCells>
  <pageMargins left="0.51180555555555596" right="0.51180555555555596" top="0.78680555555555598" bottom="0.78680555555555598" header="0.31458333333333299" footer="0.3145833333333329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CORRETA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Lucia Brito Martins</dc:creator>
  <cp:lastModifiedBy>Gabriela Oliveira</cp:lastModifiedBy>
  <cp:lastPrinted>2019-03-26T16:14:00Z</cp:lastPrinted>
  <dcterms:created xsi:type="dcterms:W3CDTF">2018-01-19T13:40:00Z</dcterms:created>
  <dcterms:modified xsi:type="dcterms:W3CDTF">2021-01-29T21:23:27Z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1046-11.2.0.9255</vt:lpwstr>
  </property>
</Properties>
</file>