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04 . DFC TODOS OS ANOS/6. DFC RELATORIO 2019 ANUAL/"/>
    </mc:Choice>
  </mc:AlternateContent>
  <xr:revisionPtr revIDLastSave="22" documentId="11_C819424977FBD6884D019449F2AAD94CF2CB12E3" xr6:coauthVersionLast="47" xr6:coauthVersionMax="47" xr10:uidLastSave="{D0CF0FE6-C616-43AB-9BC3-8E0F37FE7A15}"/>
  <bookViews>
    <workbookView xWindow="-28920" yWindow="-15" windowWidth="29040" windowHeight="15840" xr2:uid="{00000000-000D-0000-FFFF-FFFF00000000}"/>
  </bookViews>
  <sheets>
    <sheet name="CORRETA" sheetId="2" r:id="rId1"/>
    <sheet name="Plan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2" l="1"/>
  <c r="O27" i="2"/>
  <c r="C2" i="3" s="1"/>
  <c r="O45" i="2"/>
  <c r="O18" i="2"/>
  <c r="O13" i="2"/>
  <c r="O14" i="2"/>
  <c r="O15" i="2"/>
  <c r="O16" i="2"/>
  <c r="O12" i="2"/>
  <c r="O32" i="2"/>
  <c r="M57" i="2"/>
  <c r="L57" i="2"/>
  <c r="K57" i="2"/>
  <c r="J57" i="2"/>
  <c r="I57" i="2"/>
  <c r="H57" i="2"/>
  <c r="G57" i="2"/>
  <c r="F57" i="2"/>
  <c r="E57" i="2"/>
  <c r="D57" i="2"/>
  <c r="C57" i="2"/>
  <c r="C58" i="2" s="1"/>
  <c r="O50" i="2"/>
  <c r="O49" i="2"/>
  <c r="O42" i="2"/>
  <c r="J41" i="2"/>
  <c r="J43" i="2" s="1"/>
  <c r="H41" i="2"/>
  <c r="H43" i="2" s="1"/>
  <c r="O40" i="2"/>
  <c r="O39" i="2"/>
  <c r="O38" i="2"/>
  <c r="C5" i="3" s="1"/>
  <c r="O37" i="2"/>
  <c r="G35" i="2"/>
  <c r="O35" i="2" s="1"/>
  <c r="N34" i="2"/>
  <c r="M34" i="2"/>
  <c r="L34" i="2"/>
  <c r="K34" i="2"/>
  <c r="I34" i="2"/>
  <c r="G33" i="2"/>
  <c r="F33" i="2"/>
  <c r="F41" i="2" s="1"/>
  <c r="F43" i="2" s="1"/>
  <c r="H31" i="2"/>
  <c r="G31" i="2"/>
  <c r="F31" i="2"/>
  <c r="E31" i="2"/>
  <c r="E41" i="2" s="1"/>
  <c r="E43" i="2" s="1"/>
  <c r="D31" i="2"/>
  <c r="D41" i="2" s="1"/>
  <c r="D43" i="2" s="1"/>
  <c r="C31" i="2"/>
  <c r="C41" i="2" s="1"/>
  <c r="C43" i="2" s="1"/>
  <c r="L30" i="2"/>
  <c r="O30" i="2" s="1"/>
  <c r="O29" i="2"/>
  <c r="O28" i="2"/>
  <c r="C10" i="3" s="1"/>
  <c r="O26" i="2"/>
  <c r="C9" i="3" s="1"/>
  <c r="N24" i="2"/>
  <c r="M24" i="2"/>
  <c r="L24" i="2"/>
  <c r="K24" i="2"/>
  <c r="J24" i="2"/>
  <c r="I24" i="2"/>
  <c r="H24" i="2"/>
  <c r="G24" i="2"/>
  <c r="F24" i="2"/>
  <c r="E24" i="2"/>
  <c r="D24" i="2"/>
  <c r="C24" i="2"/>
  <c r="O24" i="2" s="1"/>
  <c r="O23" i="2"/>
  <c r="O22" i="2"/>
  <c r="O21" i="2"/>
  <c r="C19" i="2"/>
  <c r="O19" i="2" s="1"/>
  <c r="N17" i="2"/>
  <c r="N19" i="2" s="1"/>
  <c r="M17" i="2"/>
  <c r="M19" i="2" s="1"/>
  <c r="L17" i="2"/>
  <c r="L19" i="2" s="1"/>
  <c r="K17" i="2"/>
  <c r="K19" i="2" s="1"/>
  <c r="J17" i="2"/>
  <c r="J19" i="2" s="1"/>
  <c r="I17" i="2"/>
  <c r="I19" i="2" s="1"/>
  <c r="H17" i="2"/>
  <c r="H19" i="2" s="1"/>
  <c r="G17" i="2"/>
  <c r="G19" i="2" s="1"/>
  <c r="F17" i="2"/>
  <c r="F19" i="2" s="1"/>
  <c r="E17" i="2"/>
  <c r="E19" i="2" s="1"/>
  <c r="D17" i="2"/>
  <c r="D19" i="2" s="1"/>
  <c r="N9" i="2"/>
  <c r="M9" i="2"/>
  <c r="L9" i="2"/>
  <c r="K9" i="2"/>
  <c r="J9" i="2"/>
  <c r="I9" i="2"/>
  <c r="H9" i="2"/>
  <c r="G9" i="2"/>
  <c r="F9" i="2"/>
  <c r="E9" i="2"/>
  <c r="D9" i="2"/>
  <c r="C9" i="2"/>
  <c r="O8" i="2"/>
  <c r="O7" i="2"/>
  <c r="O6" i="2"/>
  <c r="O9" i="2" s="1"/>
  <c r="O17" i="2" l="1"/>
  <c r="J47" i="2"/>
  <c r="J58" i="2" s="1"/>
  <c r="G41" i="2"/>
  <c r="G43" i="2" s="1"/>
  <c r="E47" i="2"/>
  <c r="E58" i="2" s="1"/>
  <c r="G47" i="2"/>
  <c r="G58" i="2" s="1"/>
  <c r="C11" i="3"/>
  <c r="C4" i="3"/>
  <c r="O34" i="2"/>
  <c r="I36" i="2"/>
  <c r="N36" i="2"/>
  <c r="N41" i="2" s="1"/>
  <c r="N43" i="2" s="1"/>
  <c r="N47" i="2" s="1"/>
  <c r="N58" i="2" s="1"/>
  <c r="D47" i="2"/>
  <c r="D58" i="2" s="1"/>
  <c r="F47" i="2"/>
  <c r="F58" i="2" s="1"/>
  <c r="H47" i="2"/>
  <c r="H58" i="2" s="1"/>
  <c r="O31" i="2"/>
  <c r="O33" i="2"/>
  <c r="C13" i="3"/>
  <c r="L36" i="2"/>
  <c r="L41" i="2" s="1"/>
  <c r="L43" i="2" s="1"/>
  <c r="L47" i="2" s="1"/>
  <c r="L58" i="2" s="1"/>
  <c r="K36" i="2"/>
  <c r="K41" i="2" s="1"/>
  <c r="K43" i="2" s="1"/>
  <c r="K47" i="2" s="1"/>
  <c r="K58" i="2" s="1"/>
  <c r="M36" i="2"/>
  <c r="M41" i="2" s="1"/>
  <c r="M43" i="2" s="1"/>
  <c r="M47" i="2" s="1"/>
  <c r="M58" i="2" s="1"/>
  <c r="C12" i="3" l="1"/>
  <c r="O36" i="2"/>
  <c r="I41" i="2"/>
  <c r="I43" i="2" s="1"/>
  <c r="O47" i="2" s="1"/>
  <c r="C6" i="3"/>
  <c r="O41" i="2"/>
  <c r="P34" i="2" s="1"/>
  <c r="C7" i="3"/>
  <c r="O43" i="2" l="1"/>
  <c r="P40" i="2"/>
  <c r="P39" i="2"/>
  <c r="P38" i="2"/>
  <c r="P37" i="2"/>
  <c r="P29" i="2"/>
  <c r="P28" i="2"/>
  <c r="P27" i="2"/>
  <c r="P26" i="2"/>
  <c r="P32" i="2"/>
  <c r="P30" i="2"/>
  <c r="P35" i="2"/>
  <c r="I47" i="2"/>
  <c r="I58" i="2" s="1"/>
  <c r="P33" i="2"/>
  <c r="C3" i="3"/>
  <c r="C8" i="3" s="1"/>
  <c r="P36" i="2"/>
  <c r="P31" i="2"/>
  <c r="C14" i="3" l="1"/>
  <c r="P41" i="2"/>
  <c r="D9" i="3" l="1"/>
  <c r="C19" i="3" s="1"/>
  <c r="D10" i="3"/>
  <c r="C20" i="3" s="1"/>
  <c r="D13" i="3"/>
  <c r="C23" i="3" s="1"/>
  <c r="D11" i="3"/>
  <c r="C21" i="3" s="1"/>
  <c r="D12" i="3"/>
  <c r="C22" i="3" s="1"/>
  <c r="D2" i="3"/>
  <c r="D14" i="3" l="1"/>
  <c r="C18" i="3"/>
</calcChain>
</file>

<file path=xl/sharedStrings.xml><?xml version="1.0" encoding="utf-8"?>
<sst xmlns="http://schemas.openxmlformats.org/spreadsheetml/2006/main" count="91" uniqueCount="74">
  <si>
    <t>DEMONSTRAÇÃO DO FLUXO DE CAIXA SEMESTRAL - DFC - CENTEDUC</t>
  </si>
  <si>
    <t>1. SALDO ANTERIOR EM:</t>
  </si>
  <si>
    <t>TOTAL</t>
  </si>
  <si>
    <t xml:space="preserve">CEF 30733-5 AG 2234 OP 013 </t>
  </si>
  <si>
    <t>CEF 3327-0 AG 2234 APLICAÇÃO</t>
  </si>
  <si>
    <t>Caixa Rotativo (FUNDO FIXO)</t>
  </si>
  <si>
    <t>1. TOTAL DO SALDO ANTERIOR</t>
  </si>
  <si>
    <t>2. ENTRADAS EM CONTA CORRENTE</t>
  </si>
  <si>
    <t>DESCRIÇÃO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</si>
  <si>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</si>
  <si>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</si>
  <si>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</si>
  <si>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</si>
  <si>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</si>
  <si>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</si>
  <si>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</si>
  <si>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</si>
  <si>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</si>
  <si>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</si>
  <si>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</si>
  <si>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</si>
  <si>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Repasses Contrato de Gestão</t>
  </si>
  <si>
    <t>Rendimento sobre Aplic Financeiras</t>
  </si>
  <si>
    <t>Recuperação de Despesas</t>
  </si>
  <si>
    <t>Receitas Não Governamentais</t>
  </si>
  <si>
    <t xml:space="preserve">Aporte  para Caixa </t>
  </si>
  <si>
    <t>SUBTOTAL DE ENTRADAS:</t>
  </si>
  <si>
    <t xml:space="preserve">Resgate Aplicação </t>
  </si>
  <si>
    <t>2. TOTAL DE ENTRADAS</t>
  </si>
  <si>
    <t>3. APLICAÇÃO FINANCEIRA</t>
  </si>
  <si>
    <t>ENTRADA CONTA APLICAÇÃO (+)</t>
  </si>
  <si>
    <t>SAÍDAS DA C/A POR RESGATES (-)</t>
  </si>
  <si>
    <t>IRRF/IOF S/APLIC. FINANCEIRA (-)</t>
  </si>
  <si>
    <t>3. RESULTADO (+ ou -)</t>
  </si>
  <si>
    <t>4. GASTOS/Transferência para Aporte de Caixa</t>
  </si>
  <si>
    <t>Investimentos</t>
  </si>
  <si>
    <t>Pessoal</t>
  </si>
  <si>
    <t>Serviços</t>
  </si>
  <si>
    <t>Materiais</t>
  </si>
  <si>
    <t>Concessionarias (água, luz telefone)</t>
  </si>
  <si>
    <t>Tributos, Taxas e Contribuições</t>
  </si>
  <si>
    <t xml:space="preserve">RPA </t>
  </si>
  <si>
    <t>Rescisões Trabalhistas</t>
  </si>
  <si>
    <t>Encargos sobre Recisões Trabalhistas</t>
  </si>
  <si>
    <t>Aluguel</t>
  </si>
  <si>
    <t>Encargos sobre Folha de Pagamento</t>
  </si>
  <si>
    <t>Diárias</t>
  </si>
  <si>
    <t>Pensões Alimentícias</t>
  </si>
  <si>
    <t xml:space="preserve">Despesas de viagem </t>
  </si>
  <si>
    <t xml:space="preserve">Adiantamentos </t>
  </si>
  <si>
    <t>SUBTOTAL (GASTOS):</t>
  </si>
  <si>
    <t>Aporte p/ Caixa</t>
  </si>
  <si>
    <t>4. TOTAL DE GASTOS + APORTES</t>
  </si>
  <si>
    <t>5. MOVIMENTAÇÕES RELATIVAS A APLICAÇÃO FINANCEIRA</t>
  </si>
  <si>
    <t>5. TRANSFER. DA C/C PARA C/A</t>
  </si>
  <si>
    <t>6. RESULTADO NO FINAL DO PERÍODO</t>
  </si>
  <si>
    <t>6. SALDO FINAL (1 + 2 + 3 - 4 - 5)</t>
  </si>
  <si>
    <t>7. MOVIMENTAÇÃO FINANCEIRA SEM ALTERAÇÃO NO SALDO BANCÁRIO</t>
  </si>
  <si>
    <t>TEV - Transfer. Entre Contas (+)</t>
  </si>
  <si>
    <t>TEV - Transfer. Entre Contas (-)</t>
  </si>
  <si>
    <t>SALDO BANCÁRIO</t>
  </si>
  <si>
    <t>CEF 30733-5 AG 2234 OP 013</t>
  </si>
  <si>
    <t>CEF 3504-4 AG 2234 FI OP 5901</t>
  </si>
  <si>
    <t>SALDO TOTAL</t>
  </si>
  <si>
    <t>DIFERENÇA</t>
  </si>
  <si>
    <t>Fonte: Extrato, SIPEF e SIOFI</t>
  </si>
  <si>
    <t>APLICAÇÃO DOS RECURSOS TRANSFERIDOS</t>
  </si>
  <si>
    <t>Encargos sobre Folha</t>
  </si>
  <si>
    <t>Encargos sobre Rescisões Trabalhistas</t>
  </si>
  <si>
    <t>SUBTOTAL DE GASTOS (PESSOAL):</t>
  </si>
  <si>
    <t>Serviços e Materiais</t>
  </si>
  <si>
    <t>Viagens, Adiantamento, Aluguel e Diárias</t>
  </si>
  <si>
    <t>FONTE: Extrato e SIPEF</t>
  </si>
  <si>
    <t>Gastos com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</si>
</sst>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2">
    <font>
      <sz val="11"/>
      <color theme="1"/>
      <name val="Calibri"/>
      <charset val="134"/>
      <scheme val="minor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5117038483843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2" fillId="0" borderId="4" xfId="0" applyFont="1" applyBorder="1" applyAlignment="1" applyProtection="1">
      <alignment horizontal="left"/>
      <protection locked="0"/>
    </xf>
    <xf numFmtId="44" fontId="3" fillId="0" borderId="5" xfId="3" applyFont="1" applyBorder="1"/>
    <xf numFmtId="44" fontId="3" fillId="3" borderId="5" xfId="3" applyFont="1" applyFill="1" applyBorder="1"/>
    <xf numFmtId="0" fontId="4" fillId="2" borderId="4" xfId="0" applyFont="1" applyFill="1" applyBorder="1"/>
    <xf numFmtId="44" fontId="4" fillId="2" borderId="5" xfId="3" applyFont="1" applyFill="1" applyBorder="1"/>
    <xf numFmtId="10" fontId="0" fillId="0" borderId="9" xfId="2" applyNumberFormat="1" applyFont="1" applyBorder="1" applyAlignment="1">
      <alignment horizontal="center"/>
    </xf>
    <xf numFmtId="0" fontId="0" fillId="0" borderId="4" xfId="0" applyBorder="1"/>
    <xf numFmtId="44" fontId="0" fillId="0" borderId="5" xfId="3" applyFont="1" applyBorder="1"/>
    <xf numFmtId="0" fontId="5" fillId="2" borderId="10" xfId="0" applyFont="1" applyFill="1" applyBorder="1" applyAlignment="1" applyProtection="1">
      <alignment horizontal="left" vertical="center"/>
      <protection locked="0"/>
    </xf>
    <xf numFmtId="44" fontId="6" fillId="2" borderId="11" xfId="3" applyFont="1" applyFill="1" applyBorder="1" applyAlignment="1">
      <alignment horizontal="center"/>
    </xf>
    <xf numFmtId="10" fontId="4" fillId="2" borderId="12" xfId="2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44" fontId="6" fillId="0" borderId="0" xfId="3" applyFont="1" applyBorder="1" applyAlignment="1">
      <alignment horizontal="center"/>
    </xf>
    <xf numFmtId="44" fontId="0" fillId="0" borderId="0" xfId="3" applyFont="1"/>
    <xf numFmtId="0" fontId="4" fillId="4" borderId="5" xfId="0" applyFont="1" applyFill="1" applyBorder="1"/>
    <xf numFmtId="10" fontId="0" fillId="0" borderId="5" xfId="2" applyNumberFormat="1" applyFont="1" applyBorder="1"/>
    <xf numFmtId="0" fontId="2" fillId="0" borderId="5" xfId="0" applyFont="1" applyBorder="1" applyAlignment="1" applyProtection="1">
      <alignment horizontal="left"/>
      <protection locked="0"/>
    </xf>
    <xf numFmtId="0" fontId="0" fillId="0" borderId="5" xfId="0" applyBorder="1"/>
    <xf numFmtId="0" fontId="3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9" xfId="3" applyNumberFormat="1" applyFont="1" applyBorder="1" applyAlignment="1" applyProtection="1">
      <alignment horizontal="center"/>
      <protection locked="0"/>
    </xf>
    <xf numFmtId="4" fontId="2" fillId="3" borderId="19" xfId="3" applyNumberFormat="1" applyFont="1" applyFill="1" applyBorder="1" applyAlignment="1" applyProtection="1">
      <alignment horizontal="center"/>
      <protection locked="0"/>
    </xf>
    <xf numFmtId="4" fontId="2" fillId="0" borderId="5" xfId="3" applyNumberFormat="1" applyFont="1" applyBorder="1" applyAlignment="1" applyProtection="1">
      <alignment horizontal="center"/>
      <protection locked="0"/>
    </xf>
    <xf numFmtId="4" fontId="2" fillId="0" borderId="20" xfId="3" applyNumberFormat="1" applyFont="1" applyBorder="1" applyAlignment="1" applyProtection="1">
      <alignment horizontal="center"/>
      <protection locked="0"/>
    </xf>
    <xf numFmtId="4" fontId="2" fillId="0" borderId="5" xfId="3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4" fontId="2" fillId="0" borderId="22" xfId="3" applyNumberFormat="1" applyFont="1" applyBorder="1" applyAlignment="1" applyProtection="1">
      <alignment horizontal="center"/>
      <protection locked="0"/>
    </xf>
    <xf numFmtId="44" fontId="5" fillId="5" borderId="23" xfId="3" applyFont="1" applyFill="1" applyBorder="1" applyAlignment="1">
      <alignment horizontal="left" vertical="center"/>
    </xf>
    <xf numFmtId="4" fontId="6" fillId="6" borderId="24" xfId="3" applyNumberFormat="1" applyFont="1" applyFill="1" applyBorder="1" applyAlignment="1" applyProtection="1">
      <alignment horizontal="center"/>
      <protection locked="0"/>
    </xf>
    <xf numFmtId="4" fontId="6" fillId="6" borderId="25" xfId="3" applyNumberFormat="1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/>
      <protection locked="0"/>
    </xf>
    <xf numFmtId="4" fontId="8" fillId="0" borderId="27" xfId="3" applyNumberFormat="1" applyFont="1" applyBorder="1" applyAlignment="1" applyProtection="1">
      <alignment horizontal="center"/>
      <protection locked="0"/>
    </xf>
    <xf numFmtId="4" fontId="8" fillId="0" borderId="20" xfId="3" applyNumberFormat="1" applyFont="1" applyBorder="1" applyAlignment="1" applyProtection="1">
      <alignment horizontal="center"/>
      <protection locked="0"/>
    </xf>
    <xf numFmtId="4" fontId="8" fillId="0" borderId="19" xfId="3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4" fontId="5" fillId="0" borderId="20" xfId="0" applyNumberFormat="1" applyFont="1" applyBorder="1" applyAlignment="1" applyProtection="1">
      <alignment horizontal="center" vertical="center"/>
      <protection locked="0"/>
    </xf>
    <xf numFmtId="4" fontId="5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/>
      <protection locked="0"/>
    </xf>
    <xf numFmtId="4" fontId="8" fillId="0" borderId="30" xfId="3" applyNumberFormat="1" applyFont="1" applyBorder="1" applyAlignment="1" applyProtection="1">
      <alignment horizontal="center"/>
      <protection locked="0"/>
    </xf>
    <xf numFmtId="4" fontId="8" fillId="0" borderId="22" xfId="3" applyNumberFormat="1" applyFont="1" applyBorder="1" applyAlignment="1" applyProtection="1">
      <alignment horizontal="center"/>
      <protection locked="0"/>
    </xf>
    <xf numFmtId="0" fontId="5" fillId="5" borderId="17" xfId="0" applyFont="1" applyFill="1" applyBorder="1" applyAlignment="1" applyProtection="1">
      <alignment horizontal="left" vertical="center"/>
      <protection locked="0"/>
    </xf>
    <xf numFmtId="4" fontId="5" fillId="5" borderId="17" xfId="0" applyNumberFormat="1" applyFont="1" applyFill="1" applyBorder="1" applyAlignment="1" applyProtection="1">
      <alignment horizontal="center" vertical="center"/>
      <protection locked="0"/>
    </xf>
    <xf numFmtId="4" fontId="5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left" vertical="center"/>
      <protection locked="0"/>
    </xf>
    <xf numFmtId="4" fontId="9" fillId="5" borderId="30" xfId="3" applyNumberFormat="1" applyFont="1" applyFill="1" applyBorder="1" applyAlignment="1" applyProtection="1">
      <alignment horizontal="center" vertical="center"/>
      <protection locked="0"/>
    </xf>
    <xf numFmtId="4" fontId="5" fillId="5" borderId="30" xfId="3" applyNumberFormat="1" applyFont="1" applyFill="1" applyBorder="1" applyAlignment="1" applyProtection="1">
      <alignment horizontal="center" vertical="center"/>
      <protection locked="0"/>
    </xf>
    <xf numFmtId="4" fontId="8" fillId="0" borderId="27" xfId="3" applyNumberFormat="1" applyFont="1" applyBorder="1" applyAlignment="1">
      <alignment horizontal="center"/>
    </xf>
    <xf numFmtId="4" fontId="2" fillId="0" borderId="27" xfId="3" applyNumberFormat="1" applyFont="1" applyBorder="1" applyAlignment="1">
      <alignment horizontal="center"/>
    </xf>
    <xf numFmtId="4" fontId="8" fillId="0" borderId="5" xfId="3" applyNumberFormat="1" applyFont="1" applyBorder="1" applyAlignment="1">
      <alignment horizontal="center"/>
    </xf>
    <xf numFmtId="4" fontId="2" fillId="0" borderId="5" xfId="3" applyNumberFormat="1" applyFont="1" applyBorder="1" applyAlignment="1">
      <alignment horizontal="center"/>
    </xf>
    <xf numFmtId="4" fontId="8" fillId="0" borderId="5" xfId="3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/>
      <protection locked="0"/>
    </xf>
    <xf numFmtId="4" fontId="8" fillId="0" borderId="20" xfId="3" applyNumberFormat="1" applyFont="1" applyBorder="1" applyAlignment="1" applyProtection="1">
      <alignment horizontal="center" vertical="center"/>
      <protection locked="0"/>
    </xf>
    <xf numFmtId="0" fontId="5" fillId="7" borderId="33" xfId="0" applyFont="1" applyFill="1" applyBorder="1" applyAlignment="1" applyProtection="1">
      <alignment horizontal="left" vertical="center"/>
      <protection locked="0"/>
    </xf>
    <xf numFmtId="4" fontId="5" fillId="7" borderId="30" xfId="0" applyNumberFormat="1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left" vertical="center" wrapText="1"/>
      <protection locked="0"/>
    </xf>
    <xf numFmtId="4" fontId="8" fillId="0" borderId="27" xfId="3" applyNumberFormat="1" applyFont="1" applyBorder="1" applyAlignment="1" applyProtection="1">
      <alignment horizontal="center" vertical="center"/>
      <protection locked="0"/>
    </xf>
    <xf numFmtId="4" fontId="8" fillId="0" borderId="19" xfId="3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4" fontId="6" fillId="0" borderId="35" xfId="3" applyNumberFormat="1" applyFont="1" applyBorder="1" applyAlignment="1" applyProtection="1">
      <alignment horizontal="center" vertical="center"/>
      <protection locked="0"/>
    </xf>
    <xf numFmtId="4" fontId="6" fillId="0" borderId="30" xfId="3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/>
      <protection locked="0"/>
    </xf>
    <xf numFmtId="4" fontId="2" fillId="0" borderId="37" xfId="3" applyNumberFormat="1" applyFont="1" applyBorder="1" applyAlignment="1">
      <alignment horizontal="center" vertical="center"/>
    </xf>
    <xf numFmtId="4" fontId="2" fillId="0" borderId="38" xfId="3" applyNumberFormat="1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40" xfId="3" applyNumberFormat="1" applyFont="1" applyBorder="1" applyAlignment="1">
      <alignment horizontal="center" vertical="center"/>
    </xf>
    <xf numFmtId="4" fontId="2" fillId="0" borderId="41" xfId="3" applyNumberFormat="1" applyFont="1" applyBorder="1" applyAlignment="1">
      <alignment horizontal="center" vertical="center"/>
    </xf>
    <xf numFmtId="4" fontId="2" fillId="0" borderId="42" xfId="3" applyNumberFormat="1" applyFont="1" applyBorder="1" applyAlignment="1">
      <alignment horizontal="center" vertical="center"/>
    </xf>
    <xf numFmtId="0" fontId="6" fillId="6" borderId="43" xfId="0" applyFont="1" applyFill="1" applyBorder="1" applyAlignment="1" applyProtection="1">
      <alignment horizontal="left" vertical="center"/>
      <protection locked="0"/>
    </xf>
    <xf numFmtId="14" fontId="6" fillId="6" borderId="43" xfId="0" applyNumberFormat="1" applyFont="1" applyFill="1" applyBorder="1" applyAlignment="1" applyProtection="1">
      <alignment horizontal="center" vertical="center"/>
      <protection locked="0"/>
    </xf>
    <xf numFmtId="14" fontId="6" fillId="6" borderId="44" xfId="0" applyNumberFormat="1" applyFont="1" applyFill="1" applyBorder="1" applyAlignment="1" applyProtection="1">
      <alignment horizontal="center" vertical="center"/>
      <protection locked="0"/>
    </xf>
    <xf numFmtId="14" fontId="6" fillId="6" borderId="45" xfId="0" applyNumberFormat="1" applyFont="1" applyFill="1" applyBorder="1" applyAlignment="1" applyProtection="1">
      <alignment horizontal="center" vertical="center"/>
      <protection locked="0"/>
    </xf>
    <xf numFmtId="4" fontId="2" fillId="3" borderId="5" xfId="3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4" fontId="2" fillId="3" borderId="22" xfId="3" applyNumberFormat="1" applyFont="1" applyFill="1" applyBorder="1" applyAlignment="1" applyProtection="1">
      <alignment horizontal="center" vertical="center"/>
      <protection locked="0"/>
    </xf>
    <xf numFmtId="4" fontId="2" fillId="0" borderId="22" xfId="3" applyNumberFormat="1" applyFont="1" applyBorder="1" applyAlignment="1" applyProtection="1">
      <alignment horizontal="center" vertical="center"/>
      <protection locked="0"/>
    </xf>
    <xf numFmtId="0" fontId="6" fillId="6" borderId="24" xfId="0" applyFont="1" applyFill="1" applyBorder="1" applyAlignment="1" applyProtection="1">
      <alignment horizontal="left" vertical="center"/>
      <protection locked="0"/>
    </xf>
    <xf numFmtId="4" fontId="5" fillId="6" borderId="46" xfId="3" applyNumberFormat="1" applyFont="1" applyFill="1" applyBorder="1" applyAlignment="1">
      <alignment horizontal="center" vertical="center"/>
    </xf>
    <xf numFmtId="4" fontId="5" fillId="6" borderId="47" xfId="3" applyNumberFormat="1" applyFont="1" applyFill="1" applyBorder="1" applyAlignment="1">
      <alignment horizontal="center" vertical="center"/>
    </xf>
    <xf numFmtId="0" fontId="6" fillId="0" borderId="48" xfId="0" applyFont="1" applyBorder="1" applyAlignment="1" applyProtection="1">
      <alignment horizontal="left"/>
      <protection locked="0"/>
    </xf>
    <xf numFmtId="4" fontId="5" fillId="0" borderId="41" xfId="3" applyNumberFormat="1" applyFont="1" applyBorder="1" applyAlignment="1">
      <alignment horizontal="center"/>
    </xf>
    <xf numFmtId="4" fontId="5" fillId="3" borderId="41" xfId="3" applyNumberFormat="1" applyFont="1" applyFill="1" applyBorder="1" applyAlignment="1">
      <alignment horizontal="center"/>
    </xf>
    <xf numFmtId="0" fontId="10" fillId="0" borderId="0" xfId="0" applyFont="1"/>
    <xf numFmtId="4" fontId="2" fillId="3" borderId="20" xfId="3" applyNumberFormat="1" applyFont="1" applyFill="1" applyBorder="1" applyAlignment="1" applyProtection="1">
      <alignment horizontal="center" vertical="center"/>
      <protection locked="0"/>
    </xf>
    <xf numFmtId="4" fontId="6" fillId="0" borderId="19" xfId="3" applyNumberFormat="1" applyFont="1" applyBorder="1" applyAlignment="1" applyProtection="1">
      <alignment horizontal="center"/>
      <protection locked="0"/>
    </xf>
    <xf numFmtId="4" fontId="6" fillId="5" borderId="25" xfId="3" applyNumberFormat="1" applyFont="1" applyFill="1" applyBorder="1" applyAlignment="1" applyProtection="1">
      <alignment horizontal="center" vertical="center"/>
      <protection locked="0"/>
    </xf>
    <xf numFmtId="4" fontId="6" fillId="5" borderId="30" xfId="3" applyNumberFormat="1" applyFont="1" applyFill="1" applyBorder="1" applyAlignment="1" applyProtection="1">
      <alignment horizontal="center" vertical="center"/>
      <protection locked="0"/>
    </xf>
    <xf numFmtId="10" fontId="2" fillId="3" borderId="8" xfId="2" applyNumberFormat="1" applyFont="1" applyFill="1" applyBorder="1" applyAlignment="1">
      <alignment horizontal="center"/>
    </xf>
    <xf numFmtId="10" fontId="2" fillId="3" borderId="6" xfId="2" applyNumberFormat="1" applyFont="1" applyFill="1" applyBorder="1" applyAlignment="1">
      <alignment horizontal="center"/>
    </xf>
    <xf numFmtId="4" fontId="2" fillId="0" borderId="19" xfId="3" applyNumberFormat="1" applyFont="1" applyBorder="1" applyAlignment="1">
      <alignment horizontal="center"/>
    </xf>
    <xf numFmtId="0" fontId="5" fillId="8" borderId="0" xfId="0" applyFont="1" applyFill="1" applyBorder="1" applyAlignment="1" applyProtection="1">
      <alignment horizontal="center" vertical="center"/>
      <protection locked="0"/>
    </xf>
    <xf numFmtId="4" fontId="5" fillId="0" borderId="30" xfId="3" applyNumberFormat="1" applyFont="1" applyBorder="1" applyAlignment="1" applyProtection="1">
      <alignment horizontal="center" vertical="center"/>
      <protection locked="0"/>
    </xf>
    <xf numFmtId="4" fontId="2" fillId="0" borderId="57" xfId="3" applyNumberFormat="1" applyFont="1" applyBorder="1" applyAlignment="1">
      <alignment horizontal="center" vertical="center"/>
    </xf>
    <xf numFmtId="4" fontId="2" fillId="0" borderId="12" xfId="3" applyNumberFormat="1" applyFont="1" applyBorder="1" applyAlignment="1">
      <alignment horizontal="center" vertical="center"/>
    </xf>
    <xf numFmtId="14" fontId="6" fillId="6" borderId="22" xfId="0" applyNumberFormat="1" applyFont="1" applyFill="1" applyBorder="1" applyAlignment="1" applyProtection="1">
      <alignment horizontal="center" vertical="center"/>
      <protection locked="0"/>
    </xf>
    <xf numFmtId="4" fontId="2" fillId="0" borderId="20" xfId="3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 horizontal="center"/>
    </xf>
    <xf numFmtId="44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 applyProtection="1">
      <alignment horizontal="center" vertical="center"/>
      <protection locked="0"/>
    </xf>
    <xf numFmtId="0" fontId="6" fillId="4" borderId="56" xfId="0" applyFont="1" applyFill="1" applyBorder="1" applyAlignment="1" applyProtection="1">
      <alignment horizontal="center" vertical="center"/>
      <protection locked="0"/>
    </xf>
    <xf numFmtId="0" fontId="5" fillId="8" borderId="28" xfId="0" applyFont="1" applyFill="1" applyBorder="1" applyAlignment="1" applyProtection="1">
      <alignment horizontal="center" vertical="center"/>
      <protection locked="0"/>
    </xf>
    <xf numFmtId="0" fontId="5" fillId="8" borderId="34" xfId="0" applyFont="1" applyFill="1" applyBorder="1" applyAlignment="1" applyProtection="1">
      <alignment horizontal="center" vertical="center"/>
      <protection locked="0"/>
    </xf>
    <xf numFmtId="14" fontId="5" fillId="4" borderId="17" xfId="0" applyNumberFormat="1" applyFont="1" applyFill="1" applyBorder="1" applyAlignment="1" applyProtection="1">
      <alignment horizontal="center" vertical="center"/>
      <protection locked="0"/>
    </xf>
    <xf numFmtId="14" fontId="5" fillId="4" borderId="18" xfId="0" applyNumberFormat="1" applyFont="1" applyFill="1" applyBorder="1" applyAlignment="1" applyProtection="1">
      <alignment horizontal="center" vertical="center"/>
      <protection locked="0"/>
    </xf>
    <xf numFmtId="14" fontId="5" fillId="4" borderId="13" xfId="0" applyNumberFormat="1" applyFont="1" applyFill="1" applyBorder="1" applyAlignment="1" applyProtection="1">
      <alignment horizontal="center" vertical="center"/>
      <protection locked="0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14" fontId="5" fillId="4" borderId="51" xfId="0" applyNumberFormat="1" applyFont="1" applyFill="1" applyBorder="1" applyAlignment="1" applyProtection="1">
      <alignment horizontal="center" vertical="center"/>
      <protection locked="0"/>
    </xf>
    <xf numFmtId="14" fontId="5" fillId="4" borderId="41" xfId="0" applyNumberFormat="1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50" xfId="0" applyFont="1" applyFill="1" applyBorder="1" applyAlignment="1" applyProtection="1">
      <alignment horizontal="center" vertical="center"/>
      <protection locked="0"/>
    </xf>
    <xf numFmtId="0" fontId="3" fillId="5" borderId="50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14" fontId="6" fillId="6" borderId="13" xfId="0" applyNumberFormat="1" applyFont="1" applyFill="1" applyBorder="1" applyAlignment="1" applyProtection="1">
      <alignment horizontal="center" vertical="center"/>
      <protection locked="0"/>
    </xf>
    <xf numFmtId="14" fontId="6" fillId="6" borderId="49" xfId="0" applyNumberFormat="1" applyFont="1" applyFill="1" applyBorder="1" applyAlignment="1" applyProtection="1">
      <alignment horizontal="center" vertical="center"/>
      <protection locked="0"/>
    </xf>
    <xf numFmtId="14" fontId="6" fillId="6" borderId="44" xfId="0" applyNumberFormat="1" applyFont="1" applyFill="1" applyBorder="1" applyAlignment="1" applyProtection="1">
      <alignment horizontal="center" vertical="center"/>
      <protection locked="0"/>
    </xf>
    <xf numFmtId="14" fontId="6" fillId="6" borderId="50" xfId="0" applyNumberFormat="1" applyFont="1" applyFill="1" applyBorder="1" applyAlignment="1" applyProtection="1">
      <alignment horizontal="center" vertical="center"/>
      <protection locked="0"/>
    </xf>
    <xf numFmtId="14" fontId="6" fillId="6" borderId="15" xfId="0" applyNumberFormat="1" applyFont="1" applyFill="1" applyBorder="1" applyAlignment="1" applyProtection="1">
      <alignment horizontal="center" vertical="center"/>
      <protection locked="0"/>
    </xf>
    <xf numFmtId="14" fontId="6" fillId="6" borderId="55" xfId="0" applyNumberFormat="1" applyFont="1" applyFill="1" applyBorder="1" applyAlignment="1" applyProtection="1">
      <alignment horizontal="center" vertical="center"/>
      <protection locked="0"/>
    </xf>
    <xf numFmtId="14" fontId="5" fillId="5" borderId="52" xfId="0" applyNumberFormat="1" applyFont="1" applyFill="1" applyBorder="1" applyAlignment="1" applyProtection="1">
      <alignment horizontal="center" vertical="center"/>
      <protection locked="0"/>
    </xf>
    <xf numFmtId="14" fontId="5" fillId="5" borderId="53" xfId="0" applyNumberFormat="1" applyFont="1" applyFill="1" applyBorder="1" applyAlignment="1" applyProtection="1">
      <alignment horizontal="center" vertical="center"/>
      <protection locked="0"/>
    </xf>
    <xf numFmtId="14" fontId="5" fillId="5" borderId="54" xfId="0" applyNumberFormat="1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43" fontId="2" fillId="5" borderId="17" xfId="1" applyFont="1" applyFill="1" applyBorder="1" applyAlignment="1">
      <alignment horizontal="center"/>
    </xf>
    <xf numFmtId="43" fontId="2" fillId="5" borderId="18" xfId="1" applyFont="1" applyFill="1" applyBorder="1" applyAlignment="1">
      <alignment horizontal="center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0" fillId="0" borderId="6" xfId="2" applyNumberFormat="1" applyFont="1" applyBorder="1" applyAlignment="1">
      <alignment horizontal="center" vertical="center"/>
    </xf>
    <xf numFmtId="10" fontId="0" fillId="0" borderId="7" xfId="2" applyNumberFormat="1" applyFont="1" applyBorder="1" applyAlignment="1">
      <alignment horizontal="center" vertical="center"/>
    </xf>
    <xf numFmtId="10" fontId="0" fillId="0" borderId="8" xfId="2" applyNumberFormat="1" applyFont="1" applyBorder="1" applyAlignment="1">
      <alignment horizontal="center" vertical="center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APLICAÇÃO</a:t>
            </a:r>
            <a:r>
              <a:rPr lang="pt-BR" baseline="0"/>
              <a:t> DE RECURSOS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D7F-499F-A47C-0900310702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D7F-499F-A47C-0900310702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D7F-499F-A47C-0900310702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D7F-499F-A47C-0900310702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D7F-499F-A47C-0900310702B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D7F-499F-A47C-0900310702B1}"/>
              </c:ext>
            </c:extLst>
          </c:dPt>
          <c:dLbls>
            <c:dLbl>
              <c:idx val="4"/>
              <c:layout>
                <c:manualLayout>
                  <c:x val="3.9104163074506197E-2"/>
                  <c:y val="9.48939467906159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7F-499F-A47C-0900310702B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Plan1!$B$18:$B$23</c:f>
              <c:strCache>
                <c:ptCount val="6"/>
                <c:pt idx="0">
                  <c:v>Gastos com Pessoal</c:v>
                </c:pt>
                <c:pt idx="1">
                  <c:v>Investimentos</c:v>
                </c:pt>
                <c:pt idx="2">
                  <c:v>Serviços e Materiais</c:v>
                </c:pt>
                <c:pt idx="3">
                  <c:v>Concessionarias (água, luz telefone)</c:v>
                </c:pt>
                <c:pt idx="4">
                  <c:v>Tributos, Taxas e Contribuições</c:v>
                </c:pt>
                <c:pt idx="5">
                  <c:v>Viagens, Adiantamento, Aluguel e Diárias</c:v>
                </c:pt>
              </c:strCache>
            </c:strRef>
          </c:cat>
          <c:val>
            <c:numRef>
              <c:f>Plan1!$C$18:$C$23</c:f>
              <c:numCache>
                <c:formatCode>0.00%</c:formatCode>
                <c:ptCount val="6"/>
                <c:pt idx="0">
                  <c:v>0.50226968977889941</c:v>
                </c:pt>
                <c:pt idx="1">
                  <c:v>4.9341841380360414E-2</c:v>
                </c:pt>
                <c:pt idx="2">
                  <c:v>0.3436302056587669</c:v>
                </c:pt>
                <c:pt idx="3">
                  <c:v>1.7713093810163578E-2</c:v>
                </c:pt>
                <c:pt idx="4">
                  <c:v>8.1943928698037585E-2</c:v>
                </c:pt>
                <c:pt idx="5">
                  <c:v>5.101240673772045E-3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7F-499F-A47C-0900310702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9</xdr:row>
      <xdr:rowOff>138111</xdr:rowOff>
    </xdr:from>
    <xdr:to>
      <xdr:col>13</xdr:col>
      <xdr:colOff>152400</xdr:colOff>
      <xdr:row>25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9"/>
  <sheetViews>
    <sheetView showGridLines="0" tabSelected="1" workbookViewId="0">
      <pane xSplit="2" topLeftCell="C1" activePane="topRight" state="frozen"/>
      <selection activeCell="A7" sqref="A7"/>
      <selection pane="topRight" activeCell="Q16" sqref="Q16"/>
    </sheetView>
  </sheetViews>
  <sheetFormatPr defaultColWidth="9.140625" defaultRowHeight="12.75"/>
  <cols>
    <col min="1" max="1" width="2.7109375" style="20" customWidth="1"/>
    <col min="2" max="2" width="36.28515625" style="20" customWidth="1"/>
    <col min="3" max="3" width="10.7109375" style="20" customWidth="1"/>
    <col min="4" max="14" width="11.7109375" style="20" customWidth="1"/>
    <col min="15" max="15" width="12.5703125" style="20" customWidth="1"/>
    <col min="16" max="16" width="11.140625" style="20" customWidth="1"/>
    <col min="17" max="17" width="14.85546875" style="20" bestFit="1" customWidth="1"/>
    <col min="18" max="18" width="21.7109375" style="20" customWidth="1"/>
    <col min="19" max="16384" width="9.140625" style="20"/>
  </cols>
  <sheetData>
    <row r="2" spans="2:17" ht="15" customHeight="1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2:17" ht="15.75" customHeight="1">
      <c r="B3" s="131"/>
      <c r="C3" s="132"/>
      <c r="D3" s="132"/>
      <c r="E3" s="132"/>
      <c r="F3" s="132"/>
      <c r="G3" s="132"/>
      <c r="H3" s="132"/>
      <c r="I3" s="133"/>
      <c r="J3" s="133"/>
      <c r="K3" s="133"/>
      <c r="L3" s="133"/>
      <c r="M3" s="133"/>
      <c r="N3" s="133"/>
      <c r="O3" s="133"/>
      <c r="P3" s="134"/>
    </row>
    <row r="4" spans="2:17" ht="15.75" customHeight="1">
      <c r="B4" s="151" t="s">
        <v>1</v>
      </c>
      <c r="C4" s="116">
        <v>43465</v>
      </c>
      <c r="D4" s="116">
        <v>43496</v>
      </c>
      <c r="E4" s="116">
        <v>43524</v>
      </c>
      <c r="F4" s="116">
        <v>43555</v>
      </c>
      <c r="G4" s="116">
        <v>43585</v>
      </c>
      <c r="H4" s="118">
        <v>43616</v>
      </c>
      <c r="I4" s="116">
        <v>43646</v>
      </c>
      <c r="J4" s="116">
        <v>43677</v>
      </c>
      <c r="K4" s="116">
        <v>43708</v>
      </c>
      <c r="L4" s="116">
        <v>43738</v>
      </c>
      <c r="M4" s="116">
        <v>43769</v>
      </c>
      <c r="N4" s="118">
        <v>43799</v>
      </c>
      <c r="O4" s="120" t="s">
        <v>2</v>
      </c>
      <c r="P4" s="141"/>
    </row>
    <row r="5" spans="2:17" ht="15.75" customHeight="1">
      <c r="B5" s="152"/>
      <c r="C5" s="117"/>
      <c r="D5" s="117"/>
      <c r="E5" s="117"/>
      <c r="F5" s="117"/>
      <c r="G5" s="117"/>
      <c r="H5" s="119"/>
      <c r="I5" s="117"/>
      <c r="J5" s="117"/>
      <c r="K5" s="117"/>
      <c r="L5" s="117"/>
      <c r="M5" s="117"/>
      <c r="N5" s="119"/>
      <c r="O5" s="121"/>
      <c r="P5" s="142"/>
    </row>
    <row r="6" spans="2:17" ht="15" customHeight="1">
      <c r="B6" s="21" t="s">
        <v>3</v>
      </c>
      <c r="C6" s="22">
        <v>0</v>
      </c>
      <c r="D6" s="23">
        <v>0</v>
      </c>
      <c r="E6" s="24">
        <v>0</v>
      </c>
      <c r="F6" s="24">
        <v>0</v>
      </c>
      <c r="G6" s="24">
        <v>0</v>
      </c>
      <c r="H6" s="25">
        <v>0</v>
      </c>
      <c r="I6" s="82">
        <v>0</v>
      </c>
      <c r="J6" s="82">
        <v>0</v>
      </c>
      <c r="K6" s="82">
        <v>0</v>
      </c>
      <c r="L6" s="82">
        <v>99999</v>
      </c>
      <c r="M6" s="26">
        <v>0</v>
      </c>
      <c r="N6" s="82">
        <v>1000000</v>
      </c>
      <c r="O6" s="93">
        <f>SUM(C6:N6)</f>
        <v>1099999</v>
      </c>
      <c r="P6" s="142"/>
    </row>
    <row r="7" spans="2:17" ht="15" customHeight="1">
      <c r="B7" s="2" t="s">
        <v>4</v>
      </c>
      <c r="C7" s="22">
        <v>496188.69</v>
      </c>
      <c r="D7" s="23">
        <v>123197.23</v>
      </c>
      <c r="E7" s="24">
        <v>100575.67</v>
      </c>
      <c r="F7" s="24">
        <v>124733.38</v>
      </c>
      <c r="G7" s="26">
        <v>206946.73</v>
      </c>
      <c r="H7" s="25">
        <v>130003.09</v>
      </c>
      <c r="I7" s="26">
        <v>116635.86</v>
      </c>
      <c r="J7" s="26">
        <v>610291.23</v>
      </c>
      <c r="K7" s="26">
        <v>281144.37</v>
      </c>
      <c r="L7" s="26">
        <v>1604910.61</v>
      </c>
      <c r="M7" s="26">
        <v>2129315.9900000002</v>
      </c>
      <c r="N7" s="26">
        <v>2230282.4</v>
      </c>
      <c r="O7" s="93">
        <f t="shared" ref="O7:O8" si="0">SUM(C7:N7)</f>
        <v>8154225.25</v>
      </c>
      <c r="P7" s="142"/>
      <c r="Q7" s="106"/>
    </row>
    <row r="8" spans="2:17" ht="15" customHeight="1">
      <c r="B8" s="27" t="s">
        <v>5</v>
      </c>
      <c r="C8" s="28">
        <v>453.87</v>
      </c>
      <c r="D8" s="22">
        <v>2.8</v>
      </c>
      <c r="E8" s="24">
        <v>957.67</v>
      </c>
      <c r="F8" s="24">
        <v>1395.8</v>
      </c>
      <c r="G8" s="26">
        <v>173.47</v>
      </c>
      <c r="H8" s="25">
        <v>1897.94</v>
      </c>
      <c r="I8" s="26">
        <v>608.94000000000005</v>
      </c>
      <c r="J8" s="26">
        <v>3801.55</v>
      </c>
      <c r="K8" s="82">
        <v>541.73</v>
      </c>
      <c r="L8" s="82">
        <v>3392.22</v>
      </c>
      <c r="M8" s="82">
        <v>2892.93</v>
      </c>
      <c r="N8" s="82">
        <v>2336.83</v>
      </c>
      <c r="O8" s="93">
        <f t="shared" si="0"/>
        <v>18455.75</v>
      </c>
      <c r="P8" s="142"/>
    </row>
    <row r="9" spans="2:17" ht="15.75" customHeight="1">
      <c r="B9" s="29" t="s">
        <v>6</v>
      </c>
      <c r="C9" s="30">
        <f t="shared" ref="C9:H9" si="1">SUM(C6:C8)</f>
        <v>496642.56</v>
      </c>
      <c r="D9" s="30">
        <f t="shared" si="1"/>
        <v>123200.03</v>
      </c>
      <c r="E9" s="30">
        <f t="shared" si="1"/>
        <v>101533.34</v>
      </c>
      <c r="F9" s="30">
        <f t="shared" si="1"/>
        <v>126129.18000000001</v>
      </c>
      <c r="G9" s="30">
        <f t="shared" si="1"/>
        <v>207120.2</v>
      </c>
      <c r="H9" s="31">
        <f t="shared" si="1"/>
        <v>131901.03</v>
      </c>
      <c r="I9" s="31">
        <f t="shared" ref="I9:O9" si="2">SUM(I6:I8)</f>
        <v>117244.8</v>
      </c>
      <c r="J9" s="31">
        <f t="shared" si="2"/>
        <v>614092.78</v>
      </c>
      <c r="K9" s="31">
        <f t="shared" si="2"/>
        <v>281686.09999999998</v>
      </c>
      <c r="L9" s="31">
        <f t="shared" si="2"/>
        <v>1708301.83</v>
      </c>
      <c r="M9" s="31">
        <f t="shared" si="2"/>
        <v>2132208.9200000004</v>
      </c>
      <c r="N9" s="31">
        <f t="shared" si="2"/>
        <v>3232619.23</v>
      </c>
      <c r="O9" s="31">
        <f t="shared" si="2"/>
        <v>9272680</v>
      </c>
      <c r="P9" s="143"/>
    </row>
    <row r="10" spans="2:17" ht="20.100000000000001" customHeight="1">
      <c r="B10" s="122" t="s">
        <v>7</v>
      </c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</row>
    <row r="11" spans="2:17">
      <c r="B11" s="32" t="s">
        <v>8</v>
      </c>
      <c r="C11" s="33" t="s">
        <v>9</v>
      </c>
      <c r="D11" s="33" t="s">
        <v>10</v>
      </c>
      <c r="E11" s="33" t="s">
        <v>11</v>
      </c>
      <c r="F11" s="34" t="s">
        <v>12</v>
      </c>
      <c r="G11" s="34" t="s">
        <v>13</v>
      </c>
      <c r="H11" s="34" t="s">
        <v>14</v>
      </c>
      <c r="I11" s="33" t="s">
        <v>15</v>
      </c>
      <c r="J11" s="33" t="s">
        <v>16</v>
      </c>
      <c r="K11" s="33" t="s">
        <v>17</v>
      </c>
      <c r="L11" s="34" t="s">
        <v>18</v>
      </c>
      <c r="M11" s="34" t="s">
        <v>19</v>
      </c>
      <c r="N11" s="34" t="s">
        <v>20</v>
      </c>
      <c r="O11" s="34" t="s">
        <v>2</v>
      </c>
      <c r="P11" s="144"/>
    </row>
    <row r="12" spans="2:17">
      <c r="B12" s="35" t="s">
        <v>21</v>
      </c>
      <c r="C12" s="36">
        <v>0</v>
      </c>
      <c r="D12" s="22">
        <v>1682759.64</v>
      </c>
      <c r="E12" s="22">
        <v>1682759.64</v>
      </c>
      <c r="F12" s="22">
        <v>1682759.64</v>
      </c>
      <c r="G12" s="22">
        <v>1763673.87</v>
      </c>
      <c r="H12" s="22">
        <v>1781957.53</v>
      </c>
      <c r="I12" s="36">
        <v>1785902.25</v>
      </c>
      <c r="J12" s="22">
        <v>1785902.25</v>
      </c>
      <c r="K12" s="22">
        <v>3625252.61</v>
      </c>
      <c r="L12" s="22">
        <v>3379075.18</v>
      </c>
      <c r="M12" s="22">
        <v>4505398.91</v>
      </c>
      <c r="N12" s="22">
        <v>1504515.64</v>
      </c>
      <c r="O12" s="22">
        <f>SUM(C12:N12)</f>
        <v>25179957.16</v>
      </c>
      <c r="P12" s="145"/>
    </row>
    <row r="13" spans="2:17">
      <c r="B13" s="2" t="s">
        <v>22</v>
      </c>
      <c r="C13" s="37">
        <v>1039.18</v>
      </c>
      <c r="D13" s="22">
        <v>0</v>
      </c>
      <c r="E13" s="22">
        <v>0</v>
      </c>
      <c r="F13" s="22">
        <v>1208.8699999999999</v>
      </c>
      <c r="G13" s="22">
        <v>1303.73</v>
      </c>
      <c r="H13" s="22">
        <v>1146.68</v>
      </c>
      <c r="I13" s="37">
        <v>757.34</v>
      </c>
      <c r="J13" s="22">
        <v>1901</v>
      </c>
      <c r="K13" s="22">
        <v>1360.76</v>
      </c>
      <c r="L13" s="22">
        <v>4411.55</v>
      </c>
      <c r="M13" s="22">
        <v>4328.49</v>
      </c>
      <c r="N13" s="22">
        <v>6874.2</v>
      </c>
      <c r="O13" s="22">
        <f t="shared" ref="O13:O16" si="3">SUM(C13:N13)</f>
        <v>24331.8</v>
      </c>
      <c r="P13" s="145"/>
    </row>
    <row r="14" spans="2:17">
      <c r="B14" s="2" t="s">
        <v>23</v>
      </c>
      <c r="C14" s="37">
        <v>1412.5</v>
      </c>
      <c r="D14" s="37">
        <v>1128.54</v>
      </c>
      <c r="E14" s="37">
        <v>3095.82</v>
      </c>
      <c r="F14" s="38">
        <v>5467.61</v>
      </c>
      <c r="G14" s="38">
        <v>9007.59</v>
      </c>
      <c r="H14" s="38">
        <v>3816.15</v>
      </c>
      <c r="I14" s="37">
        <v>926.46</v>
      </c>
      <c r="J14" s="37">
        <v>2132.71</v>
      </c>
      <c r="K14" s="37">
        <v>830</v>
      </c>
      <c r="L14" s="38">
        <v>75899.649999999994</v>
      </c>
      <c r="M14" s="38">
        <v>60216.09</v>
      </c>
      <c r="N14" s="38">
        <v>4750</v>
      </c>
      <c r="O14" s="22">
        <f t="shared" si="3"/>
        <v>168683.12</v>
      </c>
      <c r="P14" s="145"/>
    </row>
    <row r="15" spans="2:17">
      <c r="B15" s="39" t="s">
        <v>24</v>
      </c>
      <c r="C15" s="37">
        <v>0</v>
      </c>
      <c r="D15" s="37">
        <v>0</v>
      </c>
      <c r="E15" s="37">
        <v>0</v>
      </c>
      <c r="F15" s="38">
        <v>0</v>
      </c>
      <c r="G15" s="22">
        <v>0</v>
      </c>
      <c r="H15" s="38">
        <v>4610</v>
      </c>
      <c r="I15" s="37">
        <v>1003.2</v>
      </c>
      <c r="J15" s="37">
        <v>749</v>
      </c>
      <c r="K15" s="37">
        <v>499</v>
      </c>
      <c r="L15" s="38">
        <v>499</v>
      </c>
      <c r="M15" s="22">
        <v>499</v>
      </c>
      <c r="N15" s="38">
        <v>1492.86</v>
      </c>
      <c r="O15" s="22">
        <f t="shared" si="3"/>
        <v>9352.06</v>
      </c>
      <c r="P15" s="145"/>
    </row>
    <row r="16" spans="2:17">
      <c r="B16" s="39" t="s">
        <v>25</v>
      </c>
      <c r="C16" s="37">
        <v>0</v>
      </c>
      <c r="D16" s="22">
        <v>2000</v>
      </c>
      <c r="E16" s="22">
        <v>2000</v>
      </c>
      <c r="F16" s="22">
        <v>0</v>
      </c>
      <c r="G16" s="22">
        <v>2000</v>
      </c>
      <c r="H16" s="22">
        <v>0</v>
      </c>
      <c r="I16" s="37">
        <v>4000</v>
      </c>
      <c r="J16" s="22">
        <v>4000</v>
      </c>
      <c r="K16" s="22">
        <v>4000</v>
      </c>
      <c r="L16" s="22">
        <v>2000</v>
      </c>
      <c r="M16" s="22">
        <v>0</v>
      </c>
      <c r="N16" s="22">
        <v>4000</v>
      </c>
      <c r="O16" s="22">
        <f t="shared" si="3"/>
        <v>24000</v>
      </c>
      <c r="P16" s="145"/>
    </row>
    <row r="17" spans="2:18">
      <c r="B17" s="40" t="s">
        <v>26</v>
      </c>
      <c r="C17" s="41">
        <v>2451.6799999999998</v>
      </c>
      <c r="D17" s="41">
        <f>D12+D13+D14+D15+D16</f>
        <v>1685888.18</v>
      </c>
      <c r="E17" s="41">
        <f>SUM(E12,E13,E14,E15,E16)</f>
        <v>1687855.46</v>
      </c>
      <c r="F17" s="41">
        <f>SUM(F12:F16)</f>
        <v>1689436.12</v>
      </c>
      <c r="G17" s="41">
        <f>SUM(G12:G16)</f>
        <v>1775985.1900000002</v>
      </c>
      <c r="H17" s="42">
        <f>SUM(H12:H16)</f>
        <v>1791530.3599999999</v>
      </c>
      <c r="I17" s="41">
        <f>SUM(I12:I16)</f>
        <v>1792589.25</v>
      </c>
      <c r="J17" s="41">
        <f>J12+J13+J14+J15+J16</f>
        <v>1794684.96</v>
      </c>
      <c r="K17" s="41">
        <f>SUM(K12,K13,K14,K15,K16)</f>
        <v>3631942.3699999996</v>
      </c>
      <c r="L17" s="41">
        <f>SUM(L12:L16)</f>
        <v>3461885.38</v>
      </c>
      <c r="M17" s="41">
        <f>SUM(M12:M16)</f>
        <v>4570442.49</v>
      </c>
      <c r="N17" s="42">
        <f>SUM(N12:N16)</f>
        <v>1521632.7</v>
      </c>
      <c r="O17" s="94">
        <f>SUM(C17:N17)</f>
        <v>25406324.139999997</v>
      </c>
      <c r="P17" s="145"/>
    </row>
    <row r="18" spans="2:18">
      <c r="B18" s="43" t="s">
        <v>27</v>
      </c>
      <c r="C18" s="44">
        <v>373608.93</v>
      </c>
      <c r="D18" s="44">
        <v>1423054.15</v>
      </c>
      <c r="E18" s="44">
        <v>1659186.16</v>
      </c>
      <c r="F18" s="45">
        <v>1450752.29</v>
      </c>
      <c r="G18" s="45">
        <v>1297262.72</v>
      </c>
      <c r="H18" s="45">
        <v>1345349.35</v>
      </c>
      <c r="I18" s="44">
        <v>1289542.45</v>
      </c>
      <c r="J18" s="44">
        <v>2111083.08</v>
      </c>
      <c r="K18" s="44">
        <v>1328388.83</v>
      </c>
      <c r="L18" s="45">
        <v>2907967.15</v>
      </c>
      <c r="M18" s="45">
        <v>4169525.25</v>
      </c>
      <c r="N18" s="45">
        <v>2010728.05</v>
      </c>
      <c r="O18" s="28">
        <f>SUM(C18:N18)</f>
        <v>21366448.41</v>
      </c>
      <c r="P18" s="145"/>
    </row>
    <row r="19" spans="2:18" ht="20.100000000000001" customHeight="1">
      <c r="B19" s="46" t="s">
        <v>28</v>
      </c>
      <c r="C19" s="47">
        <f>SUM(C17:C18)</f>
        <v>376060.61</v>
      </c>
      <c r="D19" s="47">
        <f>SUM(D17:D18)</f>
        <v>3108942.33</v>
      </c>
      <c r="E19" s="47">
        <f>E17+E18</f>
        <v>3347041.62</v>
      </c>
      <c r="F19" s="47">
        <f>SUM(F17:F18)</f>
        <v>3140188.41</v>
      </c>
      <c r="G19" s="47">
        <f>SUM(G17:G18)</f>
        <v>3073247.91</v>
      </c>
      <c r="H19" s="48">
        <f>H17+H18</f>
        <v>3136879.71</v>
      </c>
      <c r="I19" s="47">
        <f>SUM(I17:I18)</f>
        <v>3082131.7</v>
      </c>
      <c r="J19" s="47">
        <f>SUM(J17:J18)</f>
        <v>3905768.04</v>
      </c>
      <c r="K19" s="47">
        <f>K17+K18</f>
        <v>4960331.1999999993</v>
      </c>
      <c r="L19" s="47">
        <f>SUM(L17:L18)</f>
        <v>6369852.5299999993</v>
      </c>
      <c r="M19" s="47">
        <f>SUM(M17:M18)</f>
        <v>8739967.7400000002</v>
      </c>
      <c r="N19" s="48">
        <f>N17+N18</f>
        <v>3532360.75</v>
      </c>
      <c r="O19" s="95">
        <f>SUM(C19:N19)</f>
        <v>46772772.549999997</v>
      </c>
      <c r="P19" s="146"/>
    </row>
    <row r="20" spans="2:18" ht="20.100000000000001" customHeight="1">
      <c r="B20" s="110" t="s">
        <v>29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25"/>
    </row>
    <row r="21" spans="2:18">
      <c r="B21" s="49" t="s">
        <v>30</v>
      </c>
      <c r="C21" s="38">
        <v>0</v>
      </c>
      <c r="D21" s="38">
        <v>1401453.1</v>
      </c>
      <c r="E21" s="38">
        <v>1684435.36</v>
      </c>
      <c r="F21" s="38">
        <v>1532596.14</v>
      </c>
      <c r="G21" s="38">
        <v>1220000</v>
      </c>
      <c r="H21" s="38">
        <v>1332271.58</v>
      </c>
      <c r="I21" s="38">
        <v>1782900.05</v>
      </c>
      <c r="J21" s="38">
        <v>1781350.16</v>
      </c>
      <c r="K21" s="38">
        <v>2651640.14</v>
      </c>
      <c r="L21" s="38">
        <v>3430072.15</v>
      </c>
      <c r="M21" s="38">
        <v>4269702.2300000004</v>
      </c>
      <c r="N21" s="38">
        <v>1437659.18</v>
      </c>
      <c r="O21" s="38">
        <f>SUM(C21:N21)</f>
        <v>22524080.09</v>
      </c>
      <c r="P21" s="144"/>
    </row>
    <row r="22" spans="2:18">
      <c r="B22" s="50" t="s">
        <v>31</v>
      </c>
      <c r="C22" s="38">
        <v>373423.93</v>
      </c>
      <c r="D22" s="37">
        <v>1423054.15</v>
      </c>
      <c r="E22" s="37">
        <v>1659186.16</v>
      </c>
      <c r="F22" s="37">
        <v>1450752.29</v>
      </c>
      <c r="G22" s="37">
        <v>1297262.72</v>
      </c>
      <c r="H22" s="37">
        <v>1345349.35</v>
      </c>
      <c r="I22" s="38">
        <v>1289542.45</v>
      </c>
      <c r="J22" s="37">
        <v>2111083.08</v>
      </c>
      <c r="K22" s="37">
        <v>1328388.83</v>
      </c>
      <c r="L22" s="37">
        <v>2907967.15</v>
      </c>
      <c r="M22" s="37">
        <v>4169525.25</v>
      </c>
      <c r="N22" s="37">
        <v>2010728.05</v>
      </c>
      <c r="O22" s="37">
        <f>SUM(C22:N22)</f>
        <v>21366263.41</v>
      </c>
      <c r="P22" s="145"/>
      <c r="Q22" s="107"/>
    </row>
    <row r="23" spans="2:18">
      <c r="B23" s="50" t="s">
        <v>32</v>
      </c>
      <c r="C23" s="38">
        <v>421.71</v>
      </c>
      <c r="D23" s="37">
        <v>1020.51</v>
      </c>
      <c r="E23" s="37">
        <v>1091.49</v>
      </c>
      <c r="F23" s="37">
        <v>839.79</v>
      </c>
      <c r="G23" s="37">
        <v>984.23</v>
      </c>
      <c r="H23" s="37">
        <v>824.36</v>
      </c>
      <c r="I23" s="38">
        <v>459.57</v>
      </c>
      <c r="J23" s="37">
        <v>1314.94</v>
      </c>
      <c r="K23" s="37">
        <v>845.83</v>
      </c>
      <c r="L23" s="37">
        <v>2111.17</v>
      </c>
      <c r="M23" s="37">
        <v>3539.06</v>
      </c>
      <c r="N23" s="37">
        <v>1793.59</v>
      </c>
      <c r="O23" s="37">
        <f>SUM(C23:N23)</f>
        <v>15246.249999999998</v>
      </c>
      <c r="P23" s="145"/>
      <c r="Q23" s="107"/>
    </row>
    <row r="24" spans="2:18" ht="20.100000000000001" customHeight="1">
      <c r="B24" s="51" t="s">
        <v>33</v>
      </c>
      <c r="C24" s="52">
        <f>C21-C22-C23</f>
        <v>-373845.64</v>
      </c>
      <c r="D24" s="52">
        <f>D21-D22-D23</f>
        <v>-22621.559999999812</v>
      </c>
      <c r="E24" s="53">
        <f>E21-E22-E23</f>
        <v>24157.710000000185</v>
      </c>
      <c r="F24" s="53">
        <f t="shared" ref="F24:K24" si="4">F21-F22-F23</f>
        <v>81004.059999999867</v>
      </c>
      <c r="G24" s="52">
        <f t="shared" si="4"/>
        <v>-78246.949999999968</v>
      </c>
      <c r="H24" s="52">
        <f t="shared" si="4"/>
        <v>-13902.130000000019</v>
      </c>
      <c r="I24" s="96">
        <f t="shared" si="4"/>
        <v>492898.03000000009</v>
      </c>
      <c r="J24" s="52">
        <f t="shared" si="4"/>
        <v>-331047.86000000016</v>
      </c>
      <c r="K24" s="96">
        <f t="shared" si="4"/>
        <v>1322405.48</v>
      </c>
      <c r="L24" s="96">
        <f t="shared" ref="L24:N24" si="5">L21-L22-L23</f>
        <v>519993.83</v>
      </c>
      <c r="M24" s="96">
        <f t="shared" si="5"/>
        <v>96637.920000000449</v>
      </c>
      <c r="N24" s="52">
        <f t="shared" si="5"/>
        <v>-574862.46000000008</v>
      </c>
      <c r="O24" s="53">
        <f>SUM(C24:N24)</f>
        <v>1142570.4300000006</v>
      </c>
      <c r="P24" s="146"/>
      <c r="Q24" s="107"/>
    </row>
    <row r="25" spans="2:18" ht="20.100000000000001" customHeight="1">
      <c r="B25" s="110" t="s">
        <v>34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2"/>
      <c r="Q25" s="107"/>
    </row>
    <row r="26" spans="2:18">
      <c r="B26" s="35" t="s">
        <v>35</v>
      </c>
      <c r="C26" s="54">
        <v>3306.79</v>
      </c>
      <c r="D26" s="55">
        <v>39827.5</v>
      </c>
      <c r="E26" s="55">
        <v>3950.55</v>
      </c>
      <c r="F26" s="55">
        <v>14282.6</v>
      </c>
      <c r="G26" s="55">
        <v>28911.03</v>
      </c>
      <c r="H26" s="55">
        <v>55478.32</v>
      </c>
      <c r="I26" s="54">
        <v>9716.3700000000008</v>
      </c>
      <c r="J26" s="55">
        <v>83457.039999999994</v>
      </c>
      <c r="K26" s="55">
        <v>24188.42</v>
      </c>
      <c r="L26" s="55">
        <v>60857.75</v>
      </c>
      <c r="M26" s="55">
        <v>391102.13</v>
      </c>
      <c r="N26" s="55">
        <v>429693.68</v>
      </c>
      <c r="O26" s="55">
        <f>SUM(C26:N26)</f>
        <v>1144772.18</v>
      </c>
      <c r="P26" s="97">
        <f>O26/O41</f>
        <v>4.9341841380360421E-2</v>
      </c>
      <c r="Q26" s="107"/>
    </row>
    <row r="27" spans="2:18">
      <c r="B27" s="2" t="s">
        <v>36</v>
      </c>
      <c r="C27" s="56">
        <v>220449.59</v>
      </c>
      <c r="D27" s="57">
        <v>271992.78999999998</v>
      </c>
      <c r="E27" s="57">
        <v>383876.52</v>
      </c>
      <c r="F27" s="57">
        <v>394616.71</v>
      </c>
      <c r="G27" s="57">
        <v>459742.84</v>
      </c>
      <c r="H27" s="57">
        <v>444588.2</v>
      </c>
      <c r="I27" s="56">
        <v>495253.84</v>
      </c>
      <c r="J27" s="57">
        <v>527235.87</v>
      </c>
      <c r="K27" s="57">
        <v>545314.69999999995</v>
      </c>
      <c r="L27" s="57">
        <v>520218.41</v>
      </c>
      <c r="M27" s="57">
        <v>849429.57</v>
      </c>
      <c r="N27" s="57">
        <v>569891.32999999996</v>
      </c>
      <c r="O27" s="55">
        <f>SUM(C27:N27)</f>
        <v>5682610.370000001</v>
      </c>
      <c r="P27" s="97">
        <f>O27/O41</f>
        <v>0.24493123121050278</v>
      </c>
      <c r="Q27" s="107"/>
      <c r="R27" s="108"/>
    </row>
    <row r="28" spans="2:18">
      <c r="B28" s="2" t="s">
        <v>37</v>
      </c>
      <c r="C28" s="58">
        <v>80621.2</v>
      </c>
      <c r="D28" s="58">
        <v>975187.19</v>
      </c>
      <c r="E28" s="58">
        <v>775053.5</v>
      </c>
      <c r="F28" s="58">
        <v>713568.52</v>
      </c>
      <c r="G28" s="24">
        <v>621478.63</v>
      </c>
      <c r="H28" s="24">
        <v>524333.29</v>
      </c>
      <c r="I28" s="58">
        <v>419770.58</v>
      </c>
      <c r="J28" s="58">
        <v>555487.53</v>
      </c>
      <c r="K28" s="58">
        <v>533206.91</v>
      </c>
      <c r="L28" s="58">
        <v>591516.26</v>
      </c>
      <c r="M28" s="24">
        <v>1068231.8999999999</v>
      </c>
      <c r="N28" s="24">
        <v>7632.96</v>
      </c>
      <c r="O28" s="55">
        <f>SUM(C28:N28)</f>
        <v>6866088.4699999997</v>
      </c>
      <c r="P28" s="97">
        <f>O28/O41</f>
        <v>0.2959413707889561</v>
      </c>
      <c r="Q28" s="107"/>
      <c r="R28" s="108"/>
    </row>
    <row r="29" spans="2:18">
      <c r="B29" s="2" t="s">
        <v>38</v>
      </c>
      <c r="C29" s="58">
        <v>16950.82</v>
      </c>
      <c r="D29" s="58">
        <v>90401.03</v>
      </c>
      <c r="E29" s="58">
        <v>90120.54</v>
      </c>
      <c r="F29" s="58">
        <v>6109.51</v>
      </c>
      <c r="G29" s="24">
        <v>11503.4</v>
      </c>
      <c r="H29" s="24">
        <v>40033.57</v>
      </c>
      <c r="I29" s="58">
        <v>122823.43</v>
      </c>
      <c r="J29" s="58">
        <v>76200.070000000007</v>
      </c>
      <c r="K29" s="58">
        <v>153343.01</v>
      </c>
      <c r="L29" s="58">
        <v>270374.01</v>
      </c>
      <c r="M29" s="24">
        <v>175179.2</v>
      </c>
      <c r="N29" s="24">
        <v>53382.45</v>
      </c>
      <c r="O29" s="55">
        <f t="shared" ref="O29:O40" si="6">SUM(C29:N29)</f>
        <v>1106421.04</v>
      </c>
      <c r="P29" s="97">
        <f>O29/O41</f>
        <v>4.7688834869810882E-2</v>
      </c>
      <c r="Q29" s="107"/>
    </row>
    <row r="30" spans="2:18">
      <c r="B30" s="2" t="s">
        <v>39</v>
      </c>
      <c r="C30" s="37">
        <v>7927.8</v>
      </c>
      <c r="D30" s="37">
        <v>29002.91</v>
      </c>
      <c r="E30" s="37">
        <v>40846.879999999997</v>
      </c>
      <c r="F30" s="37">
        <v>14268.43</v>
      </c>
      <c r="G30" s="25">
        <v>35730.230000000003</v>
      </c>
      <c r="H30" s="25">
        <v>27588.09</v>
      </c>
      <c r="I30" s="37">
        <v>53335.9</v>
      </c>
      <c r="J30" s="37">
        <v>27597.87</v>
      </c>
      <c r="K30" s="37">
        <v>39996.42</v>
      </c>
      <c r="L30" s="37">
        <f>49611.05</f>
        <v>49611.05</v>
      </c>
      <c r="M30" s="25">
        <v>44738.63</v>
      </c>
      <c r="N30" s="25">
        <v>40314.449999999997</v>
      </c>
      <c r="O30" s="55">
        <f t="shared" si="6"/>
        <v>410958.66</v>
      </c>
      <c r="P30" s="97">
        <f>O30/O41</f>
        <v>1.7713093810163581E-2</v>
      </c>
      <c r="Q30" s="107"/>
    </row>
    <row r="31" spans="2:18">
      <c r="B31" s="2" t="s">
        <v>40</v>
      </c>
      <c r="C31" s="37">
        <f>35530.66-C36</f>
        <v>20918.200000000004</v>
      </c>
      <c r="D31" s="37">
        <f>212092.74-D36</f>
        <v>10943.729999999981</v>
      </c>
      <c r="E31" s="37">
        <f>326177.79-E36</f>
        <v>273199.84999999998</v>
      </c>
      <c r="F31" s="37">
        <f>339994.68-F36</f>
        <v>82940.079999999987</v>
      </c>
      <c r="G31" s="25">
        <f>428042.71-G36</f>
        <v>207920.66000000003</v>
      </c>
      <c r="H31" s="25">
        <f>499753.53-H36</f>
        <v>275031.49</v>
      </c>
      <c r="I31" s="37">
        <v>7220.57</v>
      </c>
      <c r="J31" s="37">
        <v>361034.56</v>
      </c>
      <c r="K31" s="37">
        <v>36954.559999999998</v>
      </c>
      <c r="L31" s="37">
        <v>26572.49</v>
      </c>
      <c r="M31" s="25">
        <v>258324.1</v>
      </c>
      <c r="N31" s="25">
        <v>340107.71</v>
      </c>
      <c r="O31" s="55">
        <f>SUM(C31:N31)</f>
        <v>1901168</v>
      </c>
      <c r="P31" s="97">
        <f>O31/O41</f>
        <v>8.1943928698037599E-2</v>
      </c>
      <c r="Q31" s="107"/>
      <c r="R31" s="108"/>
    </row>
    <row r="32" spans="2:18">
      <c r="B32" s="2" t="s">
        <v>41</v>
      </c>
      <c r="C32" s="37">
        <v>7722.74</v>
      </c>
      <c r="D32" s="37">
        <v>40751.69</v>
      </c>
      <c r="E32" s="37">
        <v>6231.35</v>
      </c>
      <c r="F32" s="37">
        <v>0</v>
      </c>
      <c r="G32" s="25">
        <v>33233.019999999997</v>
      </c>
      <c r="H32" s="25">
        <v>10777.91</v>
      </c>
      <c r="I32" s="37">
        <v>37507.449999999997</v>
      </c>
      <c r="J32" s="37">
        <v>98751.17</v>
      </c>
      <c r="K32" s="37">
        <v>90735.67</v>
      </c>
      <c r="L32" s="37">
        <v>173485.69</v>
      </c>
      <c r="M32" s="25">
        <v>75389.83</v>
      </c>
      <c r="N32" s="25">
        <v>65713.3</v>
      </c>
      <c r="O32" s="55">
        <f>SUM(C32:N32)</f>
        <v>640299.81999999995</v>
      </c>
      <c r="P32" s="97">
        <f>O32/O41</f>
        <v>2.7598130620464002E-2</v>
      </c>
      <c r="Q32" s="107"/>
    </row>
    <row r="33" spans="2:18">
      <c r="B33" s="2" t="s">
        <v>42</v>
      </c>
      <c r="C33" s="37">
        <v>0</v>
      </c>
      <c r="D33" s="37">
        <v>43020.62</v>
      </c>
      <c r="E33" s="37">
        <v>31827.84</v>
      </c>
      <c r="F33" s="37">
        <f>118853.32</f>
        <v>118853.32</v>
      </c>
      <c r="G33" s="25">
        <f>223626.93</f>
        <v>223626.93</v>
      </c>
      <c r="H33" s="25">
        <v>142413.4</v>
      </c>
      <c r="I33" s="37">
        <v>64069</v>
      </c>
      <c r="J33" s="37">
        <v>22771.43</v>
      </c>
      <c r="K33" s="37">
        <v>89623.94</v>
      </c>
      <c r="L33" s="37">
        <v>133339.75</v>
      </c>
      <c r="M33" s="25">
        <v>170907.25</v>
      </c>
      <c r="N33" s="25">
        <v>50162.11</v>
      </c>
      <c r="O33" s="55">
        <f t="shared" si="6"/>
        <v>1090615.5900000001</v>
      </c>
      <c r="P33" s="97">
        <f>O33/O41</f>
        <v>4.7007590146651013E-2</v>
      </c>
      <c r="Q33" s="107"/>
      <c r="R33" s="107"/>
    </row>
    <row r="34" spans="2:18">
      <c r="B34" s="2" t="s">
        <v>43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f>1797.8+394.14+843.81+1630.65</f>
        <v>4666.3999999999996</v>
      </c>
      <c r="J34" s="37">
        <v>0</v>
      </c>
      <c r="K34" s="37">
        <f>1056.74+1056.74+1558.5+1454.86+3913.19+149.01+1373.55+2470.35+564.87+3104.43</f>
        <v>16702.240000000002</v>
      </c>
      <c r="L34" s="37">
        <f>6273.22+146.58+1898.13+426.99+53.74+49405.45+2281.82+9572.65+1552.98+3061.67+1306.92+478.58+501.06</f>
        <v>76959.789999999994</v>
      </c>
      <c r="M34" s="25">
        <f>1432.85+78.71+2260.19+1648.26+1346.48+3050.49+2680.49+3279.87+1192.76+1195.34+658.18+2083.12+792.75+2679.02+1376.97+49917.99+1812.82+2518.92+2369.72+2558.89</f>
        <v>84933.82</v>
      </c>
      <c r="N34" s="25">
        <f>1782.83+2845.99+2929.59+1656.25+874.34+3866.38+804.96+940.55+87.71</f>
        <v>15788.599999999999</v>
      </c>
      <c r="O34" s="55">
        <f t="shared" si="6"/>
        <v>199050.85</v>
      </c>
      <c r="P34" s="97">
        <f>O34/O41</f>
        <v>8.5794672852077137E-3</v>
      </c>
      <c r="Q34" s="107"/>
      <c r="R34" s="107"/>
    </row>
    <row r="35" spans="2:18">
      <c r="B35" s="2" t="s">
        <v>44</v>
      </c>
      <c r="C35" s="37">
        <v>2962.9</v>
      </c>
      <c r="D35" s="37">
        <v>3450.99</v>
      </c>
      <c r="E35" s="37">
        <v>3758.88</v>
      </c>
      <c r="F35" s="37">
        <v>5911.96</v>
      </c>
      <c r="G35" s="25">
        <f>5950.92+0.42</f>
        <v>5951.34</v>
      </c>
      <c r="H35" s="25">
        <v>6230.92</v>
      </c>
      <c r="I35" s="37">
        <v>9036.51</v>
      </c>
      <c r="J35" s="37">
        <v>2500</v>
      </c>
      <c r="K35" s="37">
        <v>2696</v>
      </c>
      <c r="L35" s="37">
        <v>5000</v>
      </c>
      <c r="M35" s="25">
        <v>5320</v>
      </c>
      <c r="N35" s="25">
        <v>5293.97</v>
      </c>
      <c r="O35" s="55">
        <f t="shared" si="6"/>
        <v>58113.47</v>
      </c>
      <c r="P35" s="97">
        <f>O35/O41</f>
        <v>2.5048002291620454E-3</v>
      </c>
      <c r="Q35" s="107"/>
      <c r="R35" s="107"/>
    </row>
    <row r="36" spans="2:18">
      <c r="B36" s="2" t="s">
        <v>45</v>
      </c>
      <c r="C36" s="37">
        <v>14612.46</v>
      </c>
      <c r="D36" s="37">
        <v>201149.01</v>
      </c>
      <c r="E36" s="37">
        <v>52977.94</v>
      </c>
      <c r="F36" s="37">
        <v>257054.6</v>
      </c>
      <c r="G36" s="37">
        <v>220122.05</v>
      </c>
      <c r="H36" s="37">
        <v>224722.04</v>
      </c>
      <c r="I36" s="37">
        <f>72548.05-I34</f>
        <v>67881.650000000009</v>
      </c>
      <c r="J36" s="37">
        <v>366431.16</v>
      </c>
      <c r="K36" s="37">
        <f>682753.25-K34</f>
        <v>666051.01</v>
      </c>
      <c r="L36" s="37">
        <f>1201231.71-L34</f>
        <v>1124271.92</v>
      </c>
      <c r="M36" s="25">
        <f>426813.84-M34</f>
        <v>341880.02</v>
      </c>
      <c r="N36" s="25">
        <f>518520.66-N34</f>
        <v>502732.06</v>
      </c>
      <c r="O36" s="55">
        <f t="shared" si="6"/>
        <v>4039885.92</v>
      </c>
      <c r="P36" s="97">
        <f>O36/O41</f>
        <v>0.17412670725400703</v>
      </c>
      <c r="Q36" s="107"/>
      <c r="R36" s="107"/>
    </row>
    <row r="37" spans="2:18">
      <c r="B37" s="2" t="s">
        <v>46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560</v>
      </c>
      <c r="M37" s="37">
        <v>700</v>
      </c>
      <c r="N37" s="25">
        <v>1120</v>
      </c>
      <c r="O37" s="55">
        <f t="shared" si="6"/>
        <v>2380</v>
      </c>
      <c r="P37" s="97">
        <f>O37/O41</f>
        <v>1.0258249155326068E-4</v>
      </c>
      <c r="Q37" s="107"/>
      <c r="R37" s="107"/>
    </row>
    <row r="38" spans="2:18">
      <c r="B38" s="2" t="s">
        <v>47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25">
        <v>616.29</v>
      </c>
      <c r="O38" s="55">
        <f t="shared" si="6"/>
        <v>616.29</v>
      </c>
      <c r="P38" s="97">
        <f>O38/O41</f>
        <v>2.6563262066957571E-5</v>
      </c>
      <c r="Q38" s="107"/>
      <c r="R38" s="107"/>
    </row>
    <row r="39" spans="2:18">
      <c r="B39" s="2" t="s">
        <v>48</v>
      </c>
      <c r="C39" s="37">
        <v>0</v>
      </c>
      <c r="D39" s="37">
        <v>260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310</v>
      </c>
      <c r="K39" s="37">
        <v>1667.93</v>
      </c>
      <c r="L39" s="37">
        <v>1100</v>
      </c>
      <c r="M39" s="37">
        <v>356.67</v>
      </c>
      <c r="N39" s="37">
        <v>0</v>
      </c>
      <c r="O39" s="55">
        <f t="shared" si="6"/>
        <v>3694.6000000000004</v>
      </c>
      <c r="P39" s="97">
        <f>O39/O41</f>
        <v>1.5924423247591467E-4</v>
      </c>
      <c r="Q39" s="107"/>
      <c r="R39" s="107"/>
    </row>
    <row r="40" spans="2:18">
      <c r="B40" s="2" t="s">
        <v>49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25">
        <v>54165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55">
        <f t="shared" si="6"/>
        <v>54165</v>
      </c>
      <c r="P40" s="97">
        <f>O40/O41</f>
        <v>2.3346137205808256E-3</v>
      </c>
      <c r="Q40" s="107"/>
      <c r="R40" s="107"/>
    </row>
    <row r="41" spans="2:18">
      <c r="B41" s="59" t="s">
        <v>50</v>
      </c>
      <c r="C41" s="41">
        <f>SUM(C26:C40)</f>
        <v>375472.50000000006</v>
      </c>
      <c r="D41" s="41">
        <f t="shared" ref="D41:P41" si="7">SUM(D26:D40)</f>
        <v>1705987.46</v>
      </c>
      <c r="E41" s="41">
        <f t="shared" si="7"/>
        <v>1661843.8499999999</v>
      </c>
      <c r="F41" s="41">
        <f t="shared" si="7"/>
        <v>1607605.7300000002</v>
      </c>
      <c r="G41" s="41">
        <f t="shared" si="7"/>
        <v>1848220.1300000001</v>
      </c>
      <c r="H41" s="41">
        <f t="shared" si="7"/>
        <v>1805362.23</v>
      </c>
      <c r="I41" s="41">
        <f t="shared" si="7"/>
        <v>1291281.6999999997</v>
      </c>
      <c r="J41" s="41">
        <f t="shared" si="7"/>
        <v>2121776.7000000002</v>
      </c>
      <c r="K41" s="41">
        <f t="shared" si="7"/>
        <v>2200480.81</v>
      </c>
      <c r="L41" s="41">
        <f t="shared" si="7"/>
        <v>3033867.12</v>
      </c>
      <c r="M41" s="41">
        <f t="shared" si="7"/>
        <v>3466493.1199999996</v>
      </c>
      <c r="N41" s="41">
        <f t="shared" si="7"/>
        <v>2082448.9100000001</v>
      </c>
      <c r="O41" s="41">
        <f t="shared" si="7"/>
        <v>23200840.259999998</v>
      </c>
      <c r="P41" s="98">
        <f t="shared" si="7"/>
        <v>1.0000000000000002</v>
      </c>
      <c r="R41" s="108"/>
    </row>
    <row r="42" spans="2:18" ht="15" customHeight="1">
      <c r="B42" s="60" t="s">
        <v>51</v>
      </c>
      <c r="C42" s="61">
        <v>0</v>
      </c>
      <c r="D42" s="61">
        <v>2000</v>
      </c>
      <c r="E42" s="61">
        <v>2000</v>
      </c>
      <c r="F42" s="61">
        <v>0</v>
      </c>
      <c r="G42" s="61">
        <v>2000</v>
      </c>
      <c r="H42" s="61">
        <v>0</v>
      </c>
      <c r="I42" s="61">
        <v>4000</v>
      </c>
      <c r="J42" s="61">
        <v>4000</v>
      </c>
      <c r="K42" s="61">
        <v>4000</v>
      </c>
      <c r="L42" s="61">
        <v>2000</v>
      </c>
      <c r="M42" s="61">
        <v>0</v>
      </c>
      <c r="N42" s="61">
        <v>4000</v>
      </c>
      <c r="O42" s="99">
        <f>SUM(C42:N42)</f>
        <v>24000</v>
      </c>
      <c r="P42" s="147"/>
      <c r="Q42" s="108"/>
      <c r="R42" s="107"/>
    </row>
    <row r="43" spans="2:18" ht="20.100000000000001" customHeight="1">
      <c r="B43" s="62" t="s">
        <v>52</v>
      </c>
      <c r="C43" s="63">
        <f>SUM(C41:C42)</f>
        <v>375472.50000000006</v>
      </c>
      <c r="D43" s="63">
        <f>D41+D42</f>
        <v>1707987.46</v>
      </c>
      <c r="E43" s="63">
        <f>E41+E42</f>
        <v>1663843.8499999999</v>
      </c>
      <c r="F43" s="63">
        <f>F41+F42</f>
        <v>1607605.7300000002</v>
      </c>
      <c r="G43" s="63">
        <f>G41+G42</f>
        <v>1850220.1300000001</v>
      </c>
      <c r="H43" s="63">
        <f>SUM(H41:H42)</f>
        <v>1805362.23</v>
      </c>
      <c r="I43" s="63">
        <f t="shared" ref="I43:O43" si="8">SUM(I41:I42)</f>
        <v>1295281.6999999997</v>
      </c>
      <c r="J43" s="63">
        <f t="shared" si="8"/>
        <v>2125776.7000000002</v>
      </c>
      <c r="K43" s="63">
        <f t="shared" si="8"/>
        <v>2204480.81</v>
      </c>
      <c r="L43" s="63">
        <f t="shared" si="8"/>
        <v>3035867.12</v>
      </c>
      <c r="M43" s="63">
        <f t="shared" si="8"/>
        <v>3466493.1199999996</v>
      </c>
      <c r="N43" s="63">
        <f t="shared" si="8"/>
        <v>2086448.9100000001</v>
      </c>
      <c r="O43" s="63">
        <f t="shared" si="8"/>
        <v>23224840.259999998</v>
      </c>
      <c r="P43" s="148"/>
      <c r="R43" s="107"/>
    </row>
    <row r="44" spans="2:18" ht="20.100000000000001" customHeight="1">
      <c r="B44" s="110" t="s">
        <v>53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3"/>
    </row>
    <row r="45" spans="2:18" ht="20.100000000000001" customHeight="1">
      <c r="B45" s="64" t="s">
        <v>54</v>
      </c>
      <c r="C45" s="65">
        <v>0</v>
      </c>
      <c r="D45" s="65">
        <v>1400000</v>
      </c>
      <c r="E45" s="65">
        <v>1682759.64</v>
      </c>
      <c r="F45" s="66">
        <v>1532596.14</v>
      </c>
      <c r="G45" s="66">
        <v>1220000</v>
      </c>
      <c r="H45" s="66">
        <v>1332271.58</v>
      </c>
      <c r="I45" s="65">
        <v>1782900.05</v>
      </c>
      <c r="J45" s="65">
        <v>1781350.16</v>
      </c>
      <c r="K45" s="65">
        <v>2651640.14</v>
      </c>
      <c r="L45" s="66">
        <v>3430072.15</v>
      </c>
      <c r="M45" s="66">
        <v>4269702.2300000004</v>
      </c>
      <c r="N45" s="66">
        <v>1437659.18</v>
      </c>
      <c r="O45" s="66">
        <f>SUM(C45:N45)</f>
        <v>22520951.27</v>
      </c>
      <c r="P45" s="144"/>
    </row>
    <row r="46" spans="2:18" ht="20.100000000000001" customHeight="1">
      <c r="B46" s="114" t="s">
        <v>55</v>
      </c>
      <c r="C46" s="115"/>
      <c r="D46" s="115"/>
      <c r="E46" s="115"/>
      <c r="F46" s="115"/>
      <c r="G46" s="115"/>
      <c r="H46" s="115"/>
      <c r="I46" s="100"/>
      <c r="J46" s="100"/>
      <c r="K46" s="100"/>
      <c r="L46" s="100"/>
      <c r="M46" s="100"/>
      <c r="N46" s="100"/>
      <c r="O46" s="100"/>
      <c r="P46" s="145"/>
      <c r="Q46" s="106"/>
    </row>
    <row r="47" spans="2:18" ht="20.100000000000001" customHeight="1">
      <c r="B47" s="67" t="s">
        <v>56</v>
      </c>
      <c r="C47" s="68">
        <v>123200.03</v>
      </c>
      <c r="D47" s="68">
        <f>D9+D19+D24-D43-D45</f>
        <v>101533.34000000032</v>
      </c>
      <c r="E47" s="68">
        <f>E9+E19+E24-E43-E45</f>
        <v>126129.18000000017</v>
      </c>
      <c r="F47" s="68">
        <f>F9+F19+F24-F43-F45</f>
        <v>207119.78000000026</v>
      </c>
      <c r="G47" s="68">
        <f>G9+G19+G24-G43-G45</f>
        <v>131901.03000000003</v>
      </c>
      <c r="H47" s="69">
        <f>H9+H19+H24-H43-H45</f>
        <v>117244.79999999981</v>
      </c>
      <c r="I47" s="69">
        <f t="shared" ref="I47:N47" si="9">I9+I19+I24-I43-I45</f>
        <v>614092.78000000049</v>
      </c>
      <c r="J47" s="69">
        <f t="shared" si="9"/>
        <v>281686.09999999986</v>
      </c>
      <c r="K47" s="69">
        <f t="shared" si="9"/>
        <v>1708301.8299999987</v>
      </c>
      <c r="L47" s="69">
        <f t="shared" si="9"/>
        <v>2132208.9199999995</v>
      </c>
      <c r="M47" s="69">
        <f t="shared" si="9"/>
        <v>3232619.2300000004</v>
      </c>
      <c r="N47" s="69">
        <f t="shared" si="9"/>
        <v>2666009.4300000006</v>
      </c>
      <c r="O47" s="101">
        <f>I9+SUM(I19:N19)+SUM(I24:N24)-SUM(I43:N43)-SUM(I45:N45)</f>
        <v>2666009.4300000034</v>
      </c>
      <c r="P47" s="146"/>
      <c r="Q47" s="107"/>
      <c r="R47" s="108"/>
    </row>
    <row r="48" spans="2:18" ht="20.100000000000001" customHeight="1">
      <c r="B48" s="110" t="s">
        <v>57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3"/>
      <c r="Q48" s="107"/>
    </row>
    <row r="49" spans="2:18" ht="15.75" customHeight="1">
      <c r="B49" s="70" t="s">
        <v>58</v>
      </c>
      <c r="C49" s="71">
        <v>185</v>
      </c>
      <c r="D49" s="71">
        <v>1682759.64</v>
      </c>
      <c r="E49" s="71">
        <v>1682759.64</v>
      </c>
      <c r="F49" s="72">
        <v>1682759.64</v>
      </c>
      <c r="G49" s="72">
        <v>0</v>
      </c>
      <c r="H49" s="72">
        <v>611.78</v>
      </c>
      <c r="I49" s="71">
        <v>0</v>
      </c>
      <c r="J49" s="71">
        <v>0</v>
      </c>
      <c r="K49" s="71">
        <v>0</v>
      </c>
      <c r="L49" s="72">
        <v>0</v>
      </c>
      <c r="M49" s="72">
        <v>0</v>
      </c>
      <c r="N49" s="72">
        <v>0</v>
      </c>
      <c r="O49" s="102">
        <f>SUM(C49:N49)</f>
        <v>5049075.7</v>
      </c>
      <c r="P49" s="126"/>
      <c r="Q49" s="107"/>
      <c r="R49" s="109"/>
    </row>
    <row r="50" spans="2:18" ht="16.5" customHeight="1">
      <c r="B50" s="73" t="s">
        <v>59</v>
      </c>
      <c r="C50" s="74">
        <v>185</v>
      </c>
      <c r="D50" s="75">
        <v>1682759.64</v>
      </c>
      <c r="E50" s="75">
        <v>1682759.64</v>
      </c>
      <c r="F50" s="76">
        <v>1682759.64</v>
      </c>
      <c r="G50" s="77">
        <v>0</v>
      </c>
      <c r="H50" s="77">
        <v>611.78</v>
      </c>
      <c r="I50" s="74">
        <v>0</v>
      </c>
      <c r="J50" s="75">
        <v>0</v>
      </c>
      <c r="K50" s="75">
        <v>0</v>
      </c>
      <c r="L50" s="76">
        <v>0</v>
      </c>
      <c r="M50" s="77">
        <v>0</v>
      </c>
      <c r="N50" s="77">
        <v>0</v>
      </c>
      <c r="O50" s="103">
        <f>SUM(C50:N50)</f>
        <v>5049075.7</v>
      </c>
      <c r="P50" s="127"/>
      <c r="Q50" s="107"/>
      <c r="R50" s="109"/>
    </row>
    <row r="51" spans="2:18" ht="20.100000000000001" customHeight="1">
      <c r="B51" s="149" t="s">
        <v>60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13"/>
      <c r="Q51" s="107"/>
      <c r="R51" s="108"/>
    </row>
    <row r="52" spans="2:18" ht="15.75" customHeight="1">
      <c r="B52" s="78" t="s">
        <v>8</v>
      </c>
      <c r="C52" s="79">
        <v>43496</v>
      </c>
      <c r="D52" s="80">
        <v>43524</v>
      </c>
      <c r="E52" s="81">
        <v>43555</v>
      </c>
      <c r="F52" s="81">
        <v>42490</v>
      </c>
      <c r="G52" s="81">
        <v>43616</v>
      </c>
      <c r="H52" s="81">
        <v>43646</v>
      </c>
      <c r="I52" s="79">
        <v>43677</v>
      </c>
      <c r="J52" s="80">
        <v>43708</v>
      </c>
      <c r="K52" s="81">
        <v>43738</v>
      </c>
      <c r="L52" s="81">
        <v>43769</v>
      </c>
      <c r="M52" s="81">
        <v>43799</v>
      </c>
      <c r="N52" s="104">
        <v>43830</v>
      </c>
      <c r="O52" s="135"/>
      <c r="P52" s="136"/>
      <c r="Q52" s="107"/>
    </row>
    <row r="53" spans="2:18" ht="15.75" customHeight="1">
      <c r="B53" s="21" t="s">
        <v>61</v>
      </c>
      <c r="C53" s="82">
        <v>0</v>
      </c>
      <c r="D53" s="82">
        <v>0</v>
      </c>
      <c r="E53" s="82">
        <v>0</v>
      </c>
      <c r="F53" s="26">
        <v>0</v>
      </c>
      <c r="G53" s="82">
        <v>0</v>
      </c>
      <c r="H53" s="82">
        <v>0</v>
      </c>
      <c r="I53" s="82">
        <v>0</v>
      </c>
      <c r="J53" s="82">
        <v>0</v>
      </c>
      <c r="K53" s="82">
        <v>99999</v>
      </c>
      <c r="L53" s="26">
        <v>0</v>
      </c>
      <c r="M53" s="82">
        <v>1000000</v>
      </c>
      <c r="N53" s="93">
        <v>1002871</v>
      </c>
      <c r="O53" s="137"/>
      <c r="P53" s="138"/>
      <c r="Q53" s="107"/>
    </row>
    <row r="54" spans="2:18" ht="15.75" customHeight="1">
      <c r="B54" s="2" t="s">
        <v>4</v>
      </c>
      <c r="C54" s="26">
        <v>123197.23</v>
      </c>
      <c r="D54" s="26">
        <v>100575.67</v>
      </c>
      <c r="E54" s="26">
        <v>124733.38</v>
      </c>
      <c r="F54" s="26">
        <v>206946.31</v>
      </c>
      <c r="G54" s="26">
        <v>130003.09</v>
      </c>
      <c r="H54" s="26">
        <v>116635.86</v>
      </c>
      <c r="I54" s="26">
        <v>610291.23</v>
      </c>
      <c r="J54" s="26">
        <v>281144.37</v>
      </c>
      <c r="K54" s="26">
        <v>1604910.61</v>
      </c>
      <c r="L54" s="26">
        <v>2129315.9900000002</v>
      </c>
      <c r="M54" s="26">
        <v>2230282.4</v>
      </c>
      <c r="N54" s="105">
        <v>1659323.02</v>
      </c>
      <c r="O54" s="137"/>
      <c r="P54" s="138"/>
      <c r="Q54" s="107"/>
    </row>
    <row r="55" spans="2:18" ht="15.75" customHeight="1">
      <c r="B55" s="27" t="s">
        <v>5</v>
      </c>
      <c r="C55" s="82">
        <v>2.8</v>
      </c>
      <c r="D55" s="82">
        <v>957.67</v>
      </c>
      <c r="E55" s="82">
        <v>1395.8</v>
      </c>
      <c r="F55" s="26">
        <v>173.47</v>
      </c>
      <c r="G55" s="82">
        <v>1897.94</v>
      </c>
      <c r="H55" s="82">
        <v>608.94000000000005</v>
      </c>
      <c r="I55" s="26">
        <v>3801.55</v>
      </c>
      <c r="J55" s="82">
        <v>541.73</v>
      </c>
      <c r="K55" s="82">
        <v>3392.22</v>
      </c>
      <c r="L55" s="82">
        <v>2892.93</v>
      </c>
      <c r="M55" s="82">
        <v>2336.83</v>
      </c>
      <c r="N55" s="93">
        <v>3715.29</v>
      </c>
      <c r="O55" s="137"/>
      <c r="P55" s="138"/>
      <c r="Q55" s="107"/>
    </row>
    <row r="56" spans="2:18" ht="15.75" customHeight="1">
      <c r="B56" s="83" t="s">
        <v>62</v>
      </c>
      <c r="C56" s="84">
        <v>0</v>
      </c>
      <c r="D56" s="84">
        <v>0</v>
      </c>
      <c r="E56" s="84">
        <v>0</v>
      </c>
      <c r="F56" s="85">
        <v>0</v>
      </c>
      <c r="G56" s="84">
        <v>0</v>
      </c>
      <c r="H56" s="84">
        <v>0</v>
      </c>
      <c r="I56" s="85">
        <v>0</v>
      </c>
      <c r="J56" s="84">
        <v>0</v>
      </c>
      <c r="K56" s="84">
        <v>0</v>
      </c>
      <c r="L56" s="84">
        <v>0</v>
      </c>
      <c r="M56" s="84">
        <v>0</v>
      </c>
      <c r="N56" s="84">
        <v>100.12</v>
      </c>
      <c r="O56" s="137"/>
      <c r="P56" s="138"/>
      <c r="Q56" s="107"/>
    </row>
    <row r="57" spans="2:18" ht="15" customHeight="1">
      <c r="B57" s="86" t="s">
        <v>63</v>
      </c>
      <c r="C57" s="87">
        <f t="shared" ref="C57:I57" si="10">SUM(C53:C55)</f>
        <v>123200.03</v>
      </c>
      <c r="D57" s="87">
        <f t="shared" si="10"/>
        <v>101533.34</v>
      </c>
      <c r="E57" s="87">
        <f t="shared" si="10"/>
        <v>126129.18000000001</v>
      </c>
      <c r="F57" s="87">
        <f t="shared" si="10"/>
        <v>207119.78</v>
      </c>
      <c r="G57" s="87">
        <f t="shared" si="10"/>
        <v>131901.03</v>
      </c>
      <c r="H57" s="88">
        <f t="shared" si="10"/>
        <v>117244.8</v>
      </c>
      <c r="I57" s="87">
        <f t="shared" si="10"/>
        <v>614092.78</v>
      </c>
      <c r="J57" s="87">
        <f t="shared" ref="J57:M57" si="11">SUM(J53:J55)</f>
        <v>281686.09999999998</v>
      </c>
      <c r="K57" s="87">
        <f t="shared" si="11"/>
        <v>1708301.83</v>
      </c>
      <c r="L57" s="87">
        <f t="shared" si="11"/>
        <v>2132208.9200000004</v>
      </c>
      <c r="M57" s="87">
        <f t="shared" si="11"/>
        <v>3232619.23</v>
      </c>
      <c r="N57" s="87">
        <f>SUM(N53:N56)</f>
        <v>2666009.4300000002</v>
      </c>
      <c r="O57" s="137"/>
      <c r="P57" s="138"/>
      <c r="Q57" s="107"/>
    </row>
    <row r="58" spans="2:18" ht="15.75" customHeight="1">
      <c r="B58" s="89" t="s">
        <v>64</v>
      </c>
      <c r="C58" s="90">
        <f t="shared" ref="C58:I58" si="12">C47-C57</f>
        <v>0</v>
      </c>
      <c r="D58" s="90">
        <f t="shared" si="12"/>
        <v>3.2014213502407074E-10</v>
      </c>
      <c r="E58" s="90">
        <f t="shared" si="12"/>
        <v>1.6007106751203537E-10</v>
      </c>
      <c r="F58" s="90">
        <f t="shared" si="12"/>
        <v>2.6193447411060333E-10</v>
      </c>
      <c r="G58" s="91">
        <f t="shared" si="12"/>
        <v>0</v>
      </c>
      <c r="H58" s="90">
        <f t="shared" si="12"/>
        <v>-1.8917489796876907E-10</v>
      </c>
      <c r="I58" s="90">
        <f t="shared" si="12"/>
        <v>0</v>
      </c>
      <c r="J58" s="90">
        <f t="shared" ref="J58:N58" si="13">J47-J57</f>
        <v>0</v>
      </c>
      <c r="K58" s="90">
        <f t="shared" si="13"/>
        <v>0</v>
      </c>
      <c r="L58" s="90">
        <f t="shared" si="13"/>
        <v>0</v>
      </c>
      <c r="M58" s="90">
        <f t="shared" si="13"/>
        <v>0</v>
      </c>
      <c r="N58" s="90">
        <f t="shared" si="13"/>
        <v>0</v>
      </c>
      <c r="O58" s="139"/>
      <c r="P58" s="140"/>
    </row>
    <row r="59" spans="2:18">
      <c r="B59" s="92" t="s">
        <v>65</v>
      </c>
    </row>
  </sheetData>
  <mergeCells count="29">
    <mergeCell ref="P49:P50"/>
    <mergeCell ref="B2:P3"/>
    <mergeCell ref="O52:P58"/>
    <mergeCell ref="P4:P9"/>
    <mergeCell ref="P11:P19"/>
    <mergeCell ref="P21:P24"/>
    <mergeCell ref="P42:P43"/>
    <mergeCell ref="P45:P47"/>
    <mergeCell ref="B48:P48"/>
    <mergeCell ref="B51:P51"/>
    <mergeCell ref="B4:B5"/>
    <mergeCell ref="C4:C5"/>
    <mergeCell ref="D4:D5"/>
    <mergeCell ref="E4:E5"/>
    <mergeCell ref="F4:F5"/>
    <mergeCell ref="G4:G5"/>
    <mergeCell ref="B25:P25"/>
    <mergeCell ref="B44:P44"/>
    <mergeCell ref="B46:H46"/>
    <mergeCell ref="M4:M5"/>
    <mergeCell ref="N4:N5"/>
    <mergeCell ref="O4:O5"/>
    <mergeCell ref="B10:P10"/>
    <mergeCell ref="B20:P20"/>
    <mergeCell ref="H4:H5"/>
    <mergeCell ref="I4:I5"/>
    <mergeCell ref="J4:J5"/>
    <mergeCell ref="K4:K5"/>
    <mergeCell ref="L4:L5"/>
  </mergeCells>
  <pageMargins left="0.51180555555555596" right="0.51180555555555596" top="0.78680555555555598" bottom="0.78680555555555598" header="0.31388888888888899" footer="0.31388888888888899"/>
  <pageSetup paperSize="9" scale="6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showGridLines="0" workbookViewId="0">
      <selection activeCell="C3" sqref="C3"/>
    </sheetView>
  </sheetViews>
  <sheetFormatPr defaultColWidth="9" defaultRowHeight="15"/>
  <cols>
    <col min="2" max="2" width="38.5703125" customWidth="1"/>
    <col min="3" max="3" width="25.42578125" customWidth="1"/>
    <col min="4" max="4" width="9.140625" style="1"/>
  </cols>
  <sheetData>
    <row r="1" spans="2:4" ht="15.75">
      <c r="B1" s="153" t="s">
        <v>66</v>
      </c>
      <c r="C1" s="154"/>
      <c r="D1" s="155"/>
    </row>
    <row r="2" spans="2:4">
      <c r="B2" s="2" t="s">
        <v>36</v>
      </c>
      <c r="C2" s="3">
        <f>CORRETA!O27</f>
        <v>5682610.370000001</v>
      </c>
      <c r="D2" s="156">
        <f>C8/C14</f>
        <v>0.50226968977889941</v>
      </c>
    </row>
    <row r="3" spans="2:4">
      <c r="B3" s="2" t="s">
        <v>67</v>
      </c>
      <c r="C3" s="3">
        <f>CORRETA!O36</f>
        <v>4039885.92</v>
      </c>
      <c r="D3" s="157"/>
    </row>
    <row r="4" spans="2:4">
      <c r="B4" s="2" t="s">
        <v>41</v>
      </c>
      <c r="C4" s="4">
        <f>CORRETA!O32</f>
        <v>640299.81999999995</v>
      </c>
      <c r="D4" s="157"/>
    </row>
    <row r="5" spans="2:4">
      <c r="B5" s="2" t="s">
        <v>47</v>
      </c>
      <c r="C5" s="4">
        <f>CORRETA!O38</f>
        <v>616.29</v>
      </c>
      <c r="D5" s="157"/>
    </row>
    <row r="6" spans="2:4">
      <c r="B6" s="2" t="s">
        <v>42</v>
      </c>
      <c r="C6" s="4">
        <f>CORRETA!O33</f>
        <v>1090615.5900000001</v>
      </c>
      <c r="D6" s="157"/>
    </row>
    <row r="7" spans="2:4">
      <c r="B7" s="2" t="s">
        <v>68</v>
      </c>
      <c r="C7" s="4">
        <f>CORRETA!O34</f>
        <v>199050.85</v>
      </c>
      <c r="D7" s="157"/>
    </row>
    <row r="8" spans="2:4">
      <c r="B8" s="5" t="s">
        <v>69</v>
      </c>
      <c r="C8" s="6">
        <f>SUM(C2:C7)</f>
        <v>11653078.84</v>
      </c>
      <c r="D8" s="158"/>
    </row>
    <row r="9" spans="2:4">
      <c r="B9" s="2" t="s">
        <v>35</v>
      </c>
      <c r="C9" s="3">
        <f>CORRETA!O26</f>
        <v>1144772.18</v>
      </c>
      <c r="D9" s="7">
        <f>C9/C14</f>
        <v>4.9341841380360414E-2</v>
      </c>
    </row>
    <row r="10" spans="2:4">
      <c r="B10" s="2" t="s">
        <v>70</v>
      </c>
      <c r="C10" s="3">
        <f>CORRETA!O28+CORRETA!O29</f>
        <v>7972509.5099999998</v>
      </c>
      <c r="D10" s="7">
        <f>C10/C14</f>
        <v>0.3436302056587669</v>
      </c>
    </row>
    <row r="11" spans="2:4">
      <c r="B11" s="2" t="s">
        <v>39</v>
      </c>
      <c r="C11" s="3">
        <f>CORRETA!O30</f>
        <v>410958.66</v>
      </c>
      <c r="D11" s="7">
        <f>C11/C14</f>
        <v>1.7713093810163578E-2</v>
      </c>
    </row>
    <row r="12" spans="2:4">
      <c r="B12" s="2" t="s">
        <v>40</v>
      </c>
      <c r="C12" s="3">
        <f>CORRETA!O31</f>
        <v>1901168</v>
      </c>
      <c r="D12" s="7">
        <f>C12/C14</f>
        <v>8.1943928698037585E-2</v>
      </c>
    </row>
    <row r="13" spans="2:4">
      <c r="B13" s="8" t="s">
        <v>71</v>
      </c>
      <c r="C13" s="9">
        <f>CORRETA!O35+CORRETA!O37+CORRETA!O39+CORRETA!O40</f>
        <v>118353.07</v>
      </c>
      <c r="D13" s="7">
        <f>C13/C14</f>
        <v>5.101240673772045E-3</v>
      </c>
    </row>
    <row r="14" spans="2:4">
      <c r="B14" s="10" t="s">
        <v>50</v>
      </c>
      <c r="C14" s="11">
        <f>SUM(C8:C13)</f>
        <v>23200840.260000002</v>
      </c>
      <c r="D14" s="12">
        <f>SUM(D2:D13)</f>
        <v>1</v>
      </c>
    </row>
    <row r="15" spans="2:4">
      <c r="B15" s="13" t="s">
        <v>72</v>
      </c>
      <c r="C15" s="14"/>
    </row>
    <row r="16" spans="2:4">
      <c r="C16" s="15"/>
    </row>
    <row r="17" spans="2:3">
      <c r="C17" s="15"/>
    </row>
    <row r="18" spans="2:3">
      <c r="B18" s="16" t="s">
        <v>73</v>
      </c>
      <c r="C18" s="17">
        <f>D2</f>
        <v>0.50226968977889941</v>
      </c>
    </row>
    <row r="19" spans="2:3">
      <c r="B19" s="18" t="s">
        <v>35</v>
      </c>
      <c r="C19" s="17">
        <f>D9</f>
        <v>4.9341841380360414E-2</v>
      </c>
    </row>
    <row r="20" spans="2:3">
      <c r="B20" s="18" t="s">
        <v>70</v>
      </c>
      <c r="C20" s="17">
        <f>D10</f>
        <v>0.3436302056587669</v>
      </c>
    </row>
    <row r="21" spans="2:3">
      <c r="B21" s="18" t="s">
        <v>39</v>
      </c>
      <c r="C21" s="17">
        <f>D11</f>
        <v>1.7713093810163578E-2</v>
      </c>
    </row>
    <row r="22" spans="2:3">
      <c r="B22" s="18" t="s">
        <v>40</v>
      </c>
      <c r="C22" s="17">
        <f>D12</f>
        <v>8.1943928698037585E-2</v>
      </c>
    </row>
    <row r="23" spans="2:3">
      <c r="B23" s="19" t="s">
        <v>71</v>
      </c>
      <c r="C23" s="17">
        <f>D13</f>
        <v>5.101240673772045E-3</v>
      </c>
    </row>
  </sheetData>
  <mergeCells count="2">
    <mergeCell ref="B1:D1"/>
    <mergeCell ref="D2:D8"/>
  </mergeCells>
  <pageMargins left="0.51180555555555596" right="0.51180555555555596" top="0.78680555555555598" bottom="0.78680555555555598" header="0.31388888888888899" footer="0.313888888888888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CORRETA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Lucia Brito Martins</dc:creator>
  <cp:lastModifiedBy>Kelle Matos</cp:lastModifiedBy>
  <cp:lastPrinted>2019-03-26T16:14:00Z</cp:lastPrinted>
  <dcterms:created xsi:type="dcterms:W3CDTF">2018-01-19T13:40:00Z</dcterms:created>
  <dcterms:modified xsi:type="dcterms:W3CDTF">2021-07-15T17:51:57Z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1046-11.2.0.9148</vt:lpwstr>
  </property>
</Properties>
</file>