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DE ITEGO 10-04-2020\Chamamento\Anexos\"/>
    </mc:Choice>
  </mc:AlternateContent>
  <bookViews>
    <workbookView xWindow="0" yWindow="0" windowWidth="20490" windowHeight="7455"/>
  </bookViews>
  <sheets>
    <sheet name="ANEXO 3" sheetId="1" r:id="rId1"/>
  </sheets>
  <externalReferences>
    <externalReference r:id="rId2"/>
  </externalReferences>
  <definedNames>
    <definedName name="_xlnm._FilterDatabase" localSheetId="0" hidden="1">'ANEXO 3'!$A$4:$O$4</definedName>
    <definedName name="Z_1B8ACDDC_8C73_4704_AF75_B6F97D6F50A5_.wvu.FilterData" localSheetId="0" hidden="1">'ANEXO 3'!$B$5:$C$260</definedName>
  </definedNames>
  <calcPr calcId="152511"/>
  <customWorkbookViews>
    <customWorkbookView name="teste" guid="{1B8ACDDC-8C73-4704-AF75-B6F97D6F50A5}" maximized="1" xWindow="-8" yWindow="-8" windowWidth="145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6" i="1" l="1"/>
  <c r="K245" i="1"/>
  <c r="K244" i="1"/>
  <c r="K243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I246" i="1" l="1"/>
  <c r="I245" i="1"/>
  <c r="I244" i="1"/>
  <c r="I243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88" i="1" l="1"/>
  <c r="I86" i="1"/>
  <c r="E53" i="1" l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55" i="1"/>
  <c r="E56" i="1"/>
  <c r="E57" i="1"/>
  <c r="E27" i="1"/>
  <c r="E68" i="1"/>
  <c r="E74" i="1"/>
  <c r="E75" i="1"/>
  <c r="E76" i="1"/>
  <c r="E77" i="1"/>
  <c r="E78" i="1"/>
  <c r="E79" i="1"/>
  <c r="E80" i="1"/>
  <c r="E81" i="1"/>
  <c r="E82" i="1"/>
  <c r="E83" i="1"/>
  <c r="E8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70" i="1"/>
  <c r="E67" i="1"/>
  <c r="E69" i="1"/>
  <c r="E71" i="1"/>
  <c r="E72" i="1"/>
  <c r="E73" i="1"/>
  <c r="E66" i="1"/>
</calcChain>
</file>

<file path=xl/sharedStrings.xml><?xml version="1.0" encoding="utf-8"?>
<sst xmlns="http://schemas.openxmlformats.org/spreadsheetml/2006/main" count="593" uniqueCount="429">
  <si>
    <t>NORDESTE GOIANO</t>
  </si>
  <si>
    <t xml:space="preserve">REGIÕES </t>
  </si>
  <si>
    <t>Aparecida de Goiânia</t>
  </si>
  <si>
    <t>Goiânia</t>
  </si>
  <si>
    <t>Anápolis</t>
  </si>
  <si>
    <t>Ceres</t>
  </si>
  <si>
    <t>Goianésia</t>
  </si>
  <si>
    <t>Jaraguá</t>
  </si>
  <si>
    <t>Uruana</t>
  </si>
  <si>
    <t>Niquelândia</t>
  </si>
  <si>
    <t>Porangatu</t>
  </si>
  <si>
    <t>Planaltina</t>
  </si>
  <si>
    <t>Cristalina</t>
  </si>
  <si>
    <t>Formosa</t>
  </si>
  <si>
    <t>Valparaíso de Goiás</t>
  </si>
  <si>
    <t>Catalão</t>
  </si>
  <si>
    <t>Goiatuba</t>
  </si>
  <si>
    <t>Piracanjuba</t>
  </si>
  <si>
    <t>Santa Helena de Goiás</t>
  </si>
  <si>
    <t>Caiapônia</t>
  </si>
  <si>
    <t>Palmeiras de Goiás</t>
  </si>
  <si>
    <t>Piranhas</t>
  </si>
  <si>
    <t>Itaberaí</t>
  </si>
  <si>
    <t>MUNICÍPIOS DAS REGIÕES</t>
  </si>
  <si>
    <t>Aragoiânia</t>
  </si>
  <si>
    <t>Bela Vista de Goiás</t>
  </si>
  <si>
    <t>Bonfinópolis</t>
  </si>
  <si>
    <t xml:space="preserve">Brazabrantes </t>
  </si>
  <si>
    <t>Caldazinha</t>
  </si>
  <si>
    <t xml:space="preserve">Caturaí </t>
  </si>
  <si>
    <t>Goianápolis</t>
  </si>
  <si>
    <t>Goianira</t>
  </si>
  <si>
    <t>Guapó</t>
  </si>
  <si>
    <t>Hidrolândia</t>
  </si>
  <si>
    <t>Inhumas</t>
  </si>
  <si>
    <t>Nerópolis</t>
  </si>
  <si>
    <t>Nova Veneza</t>
  </si>
  <si>
    <t>Santo Antônio de Goiás</t>
  </si>
  <si>
    <t>Senador Canedo</t>
  </si>
  <si>
    <t>Terezópolis de Goiás</t>
  </si>
  <si>
    <t>Trindade</t>
  </si>
  <si>
    <t>Barro Alto</t>
  </si>
  <si>
    <t>Campo Limpo de Goiás</t>
  </si>
  <si>
    <t>Carmo do Rio Verde</t>
  </si>
  <si>
    <t>Damolândia</t>
  </si>
  <si>
    <t>Guarinos</t>
  </si>
  <si>
    <t>Hidrolina</t>
  </si>
  <si>
    <t>Ipiranga de Goiás</t>
  </si>
  <si>
    <t>Itapaci</t>
  </si>
  <si>
    <t>Jesúpolis</t>
  </si>
  <si>
    <t>Morro Agudo de Goiás</t>
  </si>
  <si>
    <t>Nova América</t>
  </si>
  <si>
    <t>Nova Glória</t>
  </si>
  <si>
    <t>Ouro Verde de Goiás</t>
  </si>
  <si>
    <t>Petrolina de Goiás</t>
  </si>
  <si>
    <t>Pilar de Goiás</t>
  </si>
  <si>
    <t>Rialma</t>
  </si>
  <si>
    <t>Rianápolis</t>
  </si>
  <si>
    <t>Rubiataba</t>
  </si>
  <si>
    <t>Santa Isabel</t>
  </si>
  <si>
    <t>Santa Rita do Novo Destino</t>
  </si>
  <si>
    <t>Santa Rosa de Goiás</t>
  </si>
  <si>
    <t>São Francisco de Goiás</t>
  </si>
  <si>
    <t>São Patrício</t>
  </si>
  <si>
    <t>Taquaral de Goiás</t>
  </si>
  <si>
    <t>Vila Propício</t>
  </si>
  <si>
    <t>Alto Paraíso de Goiás</t>
  </si>
  <si>
    <t>Alvorada do Norte</t>
  </si>
  <si>
    <t>Buritinópolis</t>
  </si>
  <si>
    <t>Campos Belos</t>
  </si>
  <si>
    <t>Cavalcante</t>
  </si>
  <si>
    <t>Colinas do Sul</t>
  </si>
  <si>
    <t>Damianópolis</t>
  </si>
  <si>
    <t>Divinópolis de Goiás</t>
  </si>
  <si>
    <t>Flores de Goiás</t>
  </si>
  <si>
    <t>Guarani de Goiás</t>
  </si>
  <si>
    <t>Iaciara</t>
  </si>
  <si>
    <t>Mambaí</t>
  </si>
  <si>
    <t>Monte Alegre de Goiás</t>
  </si>
  <si>
    <t>Nova Roma</t>
  </si>
  <si>
    <t>Posse</t>
  </si>
  <si>
    <t>São Domingos</t>
  </si>
  <si>
    <t>São João D'Aliança</t>
  </si>
  <si>
    <t>Simolândia</t>
  </si>
  <si>
    <t>Teresina de Goiás</t>
  </si>
  <si>
    <t>Abadiânia</t>
  </si>
  <si>
    <t>Água Fria de Goiás</t>
  </si>
  <si>
    <t>Águas Lindas de Goiás</t>
  </si>
  <si>
    <t>Alexânia</t>
  </si>
  <si>
    <t>Cabeceiras</t>
  </si>
  <si>
    <t>Cidade Ocidental</t>
  </si>
  <si>
    <t>Cocalzinho de Goiás</t>
  </si>
  <si>
    <t>Corumbá de Goiás</t>
  </si>
  <si>
    <t>Luziânia</t>
  </si>
  <si>
    <t>Mimoso de Goiás</t>
  </si>
  <si>
    <t>Padre Bernardo</t>
  </si>
  <si>
    <t>Novo Gama</t>
  </si>
  <si>
    <t>Pirenópolis</t>
  </si>
  <si>
    <t>Santo Antônio do Descoberto</t>
  </si>
  <si>
    <t>Vila Boa</t>
  </si>
  <si>
    <t>Água Limpa</t>
  </si>
  <si>
    <t>Aloândia</t>
  </si>
  <si>
    <t>Bom Jesus de Goiás</t>
  </si>
  <si>
    <t>Buriti Alegre</t>
  </si>
  <si>
    <t>Cachoeira Dourada</t>
  </si>
  <si>
    <t>Caldas Novas</t>
  </si>
  <si>
    <t>Cezarina</t>
  </si>
  <si>
    <t>Cromínia</t>
  </si>
  <si>
    <t>Edealina</t>
  </si>
  <si>
    <t>Edéia</t>
  </si>
  <si>
    <t>Inaciolândia</t>
  </si>
  <si>
    <t>Indiara</t>
  </si>
  <si>
    <t>Itumbiara</t>
  </si>
  <si>
    <t>Joviânia</t>
  </si>
  <si>
    <t>Mairipotaba</t>
  </si>
  <si>
    <t>Marzagão</t>
  </si>
  <si>
    <t>Morrinhos</t>
  </si>
  <si>
    <t>Panamá</t>
  </si>
  <si>
    <t>Pontalina</t>
  </si>
  <si>
    <t>Porteirão</t>
  </si>
  <si>
    <t>Professor Jamil</t>
  </si>
  <si>
    <t>Rio Quente</t>
  </si>
  <si>
    <t>Varjão</t>
  </si>
  <si>
    <t>Vicentinópolis</t>
  </si>
  <si>
    <t>Acreúna</t>
  </si>
  <si>
    <t>Aparecida do Rio Doce</t>
  </si>
  <si>
    <t>Aporé</t>
  </si>
  <si>
    <t>Cachoeira Alta</t>
  </si>
  <si>
    <t>Caçu</t>
  </si>
  <si>
    <t>Castelândia</t>
  </si>
  <si>
    <t>Chapadão do Céu</t>
  </si>
  <si>
    <t>Gouvelândia</t>
  </si>
  <si>
    <t>Itajá</t>
  </si>
  <si>
    <t>Itarumã</t>
  </si>
  <si>
    <t>Jataí</t>
  </si>
  <si>
    <t>Lagoa Santa</t>
  </si>
  <si>
    <t>Maurilândia</t>
  </si>
  <si>
    <t>Mineiros</t>
  </si>
  <si>
    <t>Montividiu</t>
  </si>
  <si>
    <t>Paranaiguara</t>
  </si>
  <si>
    <t>Perolândia</t>
  </si>
  <si>
    <t>Portelândia</t>
  </si>
  <si>
    <t>Quirinópolis</t>
  </si>
  <si>
    <t>Rio Verde</t>
  </si>
  <si>
    <t>Santa Rita do Araguaia</t>
  </si>
  <si>
    <t>Santo Antônio da Barra</t>
  </si>
  <si>
    <t>São Simão</t>
  </si>
  <si>
    <t>Serranópolis</t>
  </si>
  <si>
    <t>Turvelândia</t>
  </si>
  <si>
    <t>Anhanguera</t>
  </si>
  <si>
    <t>Campo Alegre de Goiás</t>
  </si>
  <si>
    <t>Corumbaíba</t>
  </si>
  <si>
    <t>Cristianópolis</t>
  </si>
  <si>
    <t>Cumari</t>
  </si>
  <si>
    <t>Davinópolis</t>
  </si>
  <si>
    <t>Gameleira de Goiás</t>
  </si>
  <si>
    <t>Goiandira</t>
  </si>
  <si>
    <t>Ipameri</t>
  </si>
  <si>
    <t>Leopoldo de Bulhões</t>
  </si>
  <si>
    <t>Nova Aurora</t>
  </si>
  <si>
    <t>Orizona</t>
  </si>
  <si>
    <t>Ouvidor</t>
  </si>
  <si>
    <t>Palmelo</t>
  </si>
  <si>
    <t>Pires do Rio</t>
  </si>
  <si>
    <t>Santa Cruz de Goiás</t>
  </si>
  <si>
    <t>São Miguel do Passa Quatro</t>
  </si>
  <si>
    <t>Silvânia</t>
  </si>
  <si>
    <t>Três Ranchos</t>
  </si>
  <si>
    <t>Urutaí</t>
  </si>
  <si>
    <t>Vianópolis</t>
  </si>
  <si>
    <t>Araçu</t>
  </si>
  <si>
    <t>Araguapaz</t>
  </si>
  <si>
    <t>Aruanã</t>
  </si>
  <si>
    <t>Faina</t>
  </si>
  <si>
    <t>Goiás</t>
  </si>
  <si>
    <t>Guaraíta</t>
  </si>
  <si>
    <t>Heitoraí</t>
  </si>
  <si>
    <t>Itaguari</t>
  </si>
  <si>
    <t>Itaguaru</t>
  </si>
  <si>
    <t>Itapuranga</t>
  </si>
  <si>
    <t>Itauçu</t>
  </si>
  <si>
    <t>Matrinchã</t>
  </si>
  <si>
    <t>Adelândia</t>
  </si>
  <si>
    <t>Americano do Brasil</t>
  </si>
  <si>
    <t>Amorinópolis</t>
  </si>
  <si>
    <t>Anicuns</t>
  </si>
  <si>
    <t>Aragarças</t>
  </si>
  <si>
    <t>Arenópolis</t>
  </si>
  <si>
    <t>Aurilândia</t>
  </si>
  <si>
    <t>Avelinópolis</t>
  </si>
  <si>
    <t>Baliza</t>
  </si>
  <si>
    <t>Bom Jardim de Goiás</t>
  </si>
  <si>
    <t>Britânia</t>
  </si>
  <si>
    <t>Buriti de Goiás</t>
  </si>
  <si>
    <t>Cachoeira de Goiás</t>
  </si>
  <si>
    <t>Campestre de Goiás</t>
  </si>
  <si>
    <t>Córrego do Ouro</t>
  </si>
  <si>
    <t>Diorama</t>
  </si>
  <si>
    <t>Doverlândia</t>
  </si>
  <si>
    <t>Fazenda Nova</t>
  </si>
  <si>
    <t>Firminópolis</t>
  </si>
  <si>
    <t>Iporá</t>
  </si>
  <si>
    <t>Israelândia</t>
  </si>
  <si>
    <t>Itapirapuã</t>
  </si>
  <si>
    <t>Ivolândia</t>
  </si>
  <si>
    <t>Jandaia</t>
  </si>
  <si>
    <t>Jaupaci</t>
  </si>
  <si>
    <t>Jussara</t>
  </si>
  <si>
    <t>Moiporá</t>
  </si>
  <si>
    <t>Montes Claros de Goiás</t>
  </si>
  <si>
    <t>Mossâmedes</t>
  </si>
  <si>
    <t>Nazário</t>
  </si>
  <si>
    <t>Novo Brasil</t>
  </si>
  <si>
    <t>Palestina de Goiás</t>
  </si>
  <si>
    <t>Palminópolis</t>
  </si>
  <si>
    <t>Paraúna</t>
  </si>
  <si>
    <t>Sanclerlândia</t>
  </si>
  <si>
    <t>Santa Bárbara de Goiás</t>
  </si>
  <si>
    <t>Santa Fé de Goiás</t>
  </si>
  <si>
    <t>São João da Paraúna</t>
  </si>
  <si>
    <t>Turvânia</t>
  </si>
  <si>
    <t>Alto Horizonte</t>
  </si>
  <si>
    <t>Amaralina</t>
  </si>
  <si>
    <t>Bonópolis</t>
  </si>
  <si>
    <t>Campinaçu</t>
  </si>
  <si>
    <t>Campinorte</t>
  </si>
  <si>
    <t>Campos Verdes</t>
  </si>
  <si>
    <t>Crixás</t>
  </si>
  <si>
    <t>Estrela do Norte</t>
  </si>
  <si>
    <t>Formoso</t>
  </si>
  <si>
    <t>Mara Rosa</t>
  </si>
  <si>
    <t>Minaçu</t>
  </si>
  <si>
    <t>Mundo Novo</t>
  </si>
  <si>
    <t>Mutunópolis</t>
  </si>
  <si>
    <t>Nova Iguaçu de Goiás</t>
  </si>
  <si>
    <t>Novo Planalto</t>
  </si>
  <si>
    <t>Santa Tereza de Goiás</t>
  </si>
  <si>
    <t>Santa Terezinha de Goiás</t>
  </si>
  <si>
    <t>São Miguel do Araguaia</t>
  </si>
  <si>
    <t>Trombas</t>
  </si>
  <si>
    <t>Uirapuru</t>
  </si>
  <si>
    <t>Uruaçu</t>
  </si>
  <si>
    <t>REDE DE ORQUESTRA</t>
  </si>
  <si>
    <t>APL Lácteo do Norte</t>
  </si>
  <si>
    <t>APL de Águas Emendadas</t>
  </si>
  <si>
    <t>APL das  Águas Emendadas</t>
  </si>
  <si>
    <t>APL de Mandioca e Derivados</t>
  </si>
  <si>
    <t>APL das Águas Emendadas</t>
  </si>
  <si>
    <t>APL Lácteo das Águas Emendadas</t>
  </si>
  <si>
    <t>APL Lácteo da Região Norte</t>
  </si>
  <si>
    <t>APL Mel do Norte</t>
  </si>
  <si>
    <t>APL de Confecção</t>
  </si>
  <si>
    <t>APL de Bananicultura</t>
  </si>
  <si>
    <t>APL  Fármaco e Fitotarápico</t>
  </si>
  <si>
    <t>APL  Lácteo de São Luis de Montes Belos</t>
  </si>
  <si>
    <t>APL Higiene Pessoal, Perfumaria e Cosméticos - HPPC</t>
  </si>
  <si>
    <t>APL Apícola da Serra Dourada</t>
  </si>
  <si>
    <t>APL  das Águas Emendadas</t>
  </si>
  <si>
    <t>APL Apícula</t>
  </si>
  <si>
    <t>APL de Apícola da Serra Dourada</t>
  </si>
  <si>
    <t>APL de Farmácos</t>
  </si>
  <si>
    <t>Ranking</t>
  </si>
  <si>
    <t>% PIB Município x Região</t>
  </si>
  <si>
    <t>Taxa de Analfabetismo</t>
  </si>
  <si>
    <t>% Pop. Município x Região</t>
  </si>
  <si>
    <t>% População</t>
  </si>
  <si>
    <t xml:space="preserve">urbana </t>
  </si>
  <si>
    <t>rural</t>
  </si>
  <si>
    <t>Montividiu do Norte</t>
  </si>
  <si>
    <t>Mozarlândia</t>
  </si>
  <si>
    <t>Nova Crixás</t>
  </si>
  <si>
    <t>Sítio D'Abadia</t>
  </si>
  <si>
    <t>São Luís de Montes Belos</t>
  </si>
  <si>
    <t>São Luíz do Norte</t>
  </si>
  <si>
    <t>´15.122,79</t>
  </si>
  <si>
    <t>Abadia de Goiás</t>
  </si>
  <si>
    <t>87 º</t>
  </si>
  <si>
    <t>59 º</t>
  </si>
  <si>
    <t>167 º</t>
  </si>
  <si>
    <t>65 º</t>
  </si>
  <si>
    <t>173 º</t>
  </si>
  <si>
    <t>163 º</t>
  </si>
  <si>
    <t>100 º</t>
  </si>
  <si>
    <t>1 º</t>
  </si>
  <si>
    <t>131 º</t>
  </si>
  <si>
    <t>123 º</t>
  </si>
  <si>
    <t>93 º</t>
  </si>
  <si>
    <t>53 º</t>
  </si>
  <si>
    <t>50 º</t>
  </si>
  <si>
    <t>47 º</t>
  </si>
  <si>
    <t>104 º</t>
  </si>
  <si>
    <t>115 º</t>
  </si>
  <si>
    <t>22 º</t>
  </si>
  <si>
    <t>17 º</t>
  </si>
  <si>
    <t>205 º</t>
  </si>
  <si>
    <t>73 º</t>
  </si>
  <si>
    <t>2 º</t>
  </si>
  <si>
    <t>37 º</t>
  </si>
  <si>
    <t>223 º</t>
  </si>
  <si>
    <t>184 º</t>
  </si>
  <si>
    <t>128 º</t>
  </si>
  <si>
    <t>42 º</t>
  </si>
  <si>
    <t>227 º</t>
  </si>
  <si>
    <t>130 º</t>
  </si>
  <si>
    <t>183 º</t>
  </si>
  <si>
    <t>177 º</t>
  </si>
  <si>
    <t>55 º</t>
  </si>
  <si>
    <t>77 º</t>
  </si>
  <si>
    <t>134 º</t>
  </si>
  <si>
    <t>233 º</t>
  </si>
  <si>
    <t>224 º</t>
  </si>
  <si>
    <t>196 º</t>
  </si>
  <si>
    <t>243 º</t>
  </si>
  <si>
    <t>238 º</t>
  </si>
  <si>
    <t>237 º</t>
  </si>
  <si>
    <t>151 º</t>
  </si>
  <si>
    <t>217 º</t>
  </si>
  <si>
    <t>89 º</t>
  </si>
  <si>
    <t>68 º</t>
  </si>
  <si>
    <t>145 º</t>
  </si>
  <si>
    <t>242 º</t>
  </si>
  <si>
    <t>180 º</t>
  </si>
  <si>
    <t>231 º</t>
  </si>
  <si>
    <t>215 º</t>
  </si>
  <si>
    <t>212 º</t>
  </si>
  <si>
    <t>200 º</t>
  </si>
  <si>
    <t>203 º</t>
  </si>
  <si>
    <t>220 º</t>
  </si>
  <si>
    <t>194 º</t>
  </si>
  <si>
    <t>207 º</t>
  </si>
  <si>
    <t>98 º</t>
  </si>
  <si>
    <t>143 º</t>
  </si>
  <si>
    <t>246 º</t>
  </si>
  <si>
    <t>244 º</t>
  </si>
  <si>
    <t>232 º</t>
  </si>
  <si>
    <t>230 º</t>
  </si>
  <si>
    <t>239 º</t>
  </si>
  <si>
    <t>241 º</t>
  </si>
  <si>
    <t>209 º</t>
  </si>
  <si>
    <t>229 º</t>
  </si>
  <si>
    <t>240 º</t>
  </si>
  <si>
    <t>149 º</t>
  </si>
  <si>
    <t>193 º</t>
  </si>
  <si>
    <t>159 º</t>
  </si>
  <si>
    <t>176 º</t>
  </si>
  <si>
    <t>198 º</t>
  </si>
  <si>
    <t>64 º</t>
  </si>
  <si>
    <t>214 º</t>
  </si>
  <si>
    <t>13 º</t>
  </si>
  <si>
    <t>10 º</t>
  </si>
  <si>
    <t>228 º</t>
  </si>
  <si>
    <t>3 º</t>
  </si>
  <si>
    <t>120 º</t>
  </si>
  <si>
    <t>4 º</t>
  </si>
  <si>
    <t>8 º</t>
  </si>
  <si>
    <t>34 º</t>
  </si>
  <si>
    <t>85 º</t>
  </si>
  <si>
    <t>11 º</t>
  </si>
  <si>
    <t>29 º</t>
  </si>
  <si>
    <t>48 º</t>
  </si>
  <si>
    <t>82 º</t>
  </si>
  <si>
    <t>27 º</t>
  </si>
  <si>
    <t>79 º</t>
  </si>
  <si>
    <t>102 º</t>
  </si>
  <si>
    <t>21 º</t>
  </si>
  <si>
    <t>7 º</t>
  </si>
  <si>
    <t>26 º</t>
  </si>
  <si>
    <t>154 º</t>
  </si>
  <si>
    <t>32 º</t>
  </si>
  <si>
    <t>189 º</t>
  </si>
  <si>
    <t>5 º</t>
  </si>
  <si>
    <t>19 º</t>
  </si>
  <si>
    <t>187 º</t>
  </si>
  <si>
    <t>6 º</t>
  </si>
  <si>
    <t>45 º</t>
  </si>
  <si>
    <t>71 º</t>
  </si>
  <si>
    <t>113 º</t>
  </si>
  <si>
    <t>191 º</t>
  </si>
  <si>
    <t>36 º</t>
  </si>
  <si>
    <t>15 º</t>
  </si>
  <si>
    <t>25 º</t>
  </si>
  <si>
    <t>188 º</t>
  </si>
  <si>
    <t>226 º</t>
  </si>
  <si>
    <t>41 º</t>
  </si>
  <si>
    <t>182 º</t>
  </si>
  <si>
    <t>104º</t>
  </si>
  <si>
    <t>203º</t>
  </si>
  <si>
    <t>22.635,52 </t>
  </si>
  <si>
    <t>12.562,82 </t>
  </si>
  <si>
    <t>10.710,49 </t>
  </si>
  <si>
    <t>12.330,50 </t>
  </si>
  <si>
    <t>8.510,85 </t>
  </si>
  <si>
    <t>14.789,79 </t>
  </si>
  <si>
    <t>15.678,25 </t>
  </si>
  <si>
    <t>48.718,78 </t>
  </si>
  <si>
    <t>22.072,55 </t>
  </si>
  <si>
    <t>18.672,82 </t>
  </si>
  <si>
    <t>32.368,53 </t>
  </si>
  <si>
    <t>31.622,05 </t>
  </si>
  <si>
    <t>34.726,83 </t>
  </si>
  <si>
    <t>17.083,52 </t>
  </si>
  <si>
    <t>41.609,86 </t>
  </si>
  <si>
    <t>10,318,54</t>
  </si>
  <si>
    <t>População (15 a 59 anos)</t>
  </si>
  <si>
    <t>EFG</t>
  </si>
  <si>
    <t>1) EFG Luiz Rassi</t>
  </si>
  <si>
    <t xml:space="preserve">2) EFG em Artes Basileu França </t>
  </si>
  <si>
    <t>3) EFG José Luiz Bittencourt</t>
  </si>
  <si>
    <t>METROPOLITANA</t>
  </si>
  <si>
    <t>CENTRO GOIANO</t>
  </si>
  <si>
    <t>NORTE GOIANO</t>
  </si>
  <si>
    <t>REGIÃO ENTORNO DO DISTRITO FEDERAL</t>
  </si>
  <si>
    <t>APL de Mandioca e Derivados
APL de Confecções</t>
  </si>
  <si>
    <t>SUL GOIANO</t>
  </si>
  <si>
    <t>SUDESTE GOIANO</t>
  </si>
  <si>
    <t>SUDOESTE GOIANO</t>
  </si>
  <si>
    <t>6) EFG Raul Brandão de Castro</t>
  </si>
  <si>
    <t>OESTE GOIANO</t>
  </si>
  <si>
    <t>NOROESTE</t>
  </si>
  <si>
    <t>Rede de Orquestras Jovens de Goiás - ROJG</t>
  </si>
  <si>
    <t>ANEXO 3 - DISTRIBUIÇÃO DOS EQUIPAMENTOS PÚBLICOS POR REGIÕES DE PLANEJAMENTO DO ESTADO DE GOIÁS</t>
  </si>
  <si>
    <t>ARRANJO PRODUTIVO LOCAL - APL</t>
  </si>
  <si>
    <t>4) EFG Sarah Luísa Lemos Kubitschek de Oliveira</t>
  </si>
  <si>
    <t>5) EFG Paulo Renato de Souza</t>
  </si>
  <si>
    <r>
      <rPr>
        <b/>
        <sz val="12"/>
        <color theme="1"/>
        <rFont val="Times New Roman"/>
        <family val="1"/>
      </rPr>
      <t>NOTA</t>
    </r>
    <r>
      <rPr>
        <vertAlign val="superscript"/>
        <sz val="12"/>
        <color theme="1"/>
        <rFont val="Times New Roman"/>
        <family val="1"/>
      </rPr>
      <t xml:space="preserve">
1 </t>
    </r>
    <r>
      <rPr>
        <sz val="12"/>
        <color theme="1"/>
        <rFont val="Times New Roman"/>
        <family val="1"/>
      </rPr>
      <t xml:space="preserve">IMCF: Índice Multidimensional da Carência das Famílias Goianas.
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IDHM: Índice de Desenvolvimento Humano Municipal.
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PIB: Produto Interno Bruto</t>
    </r>
  </si>
  <si>
    <r>
      <rPr>
        <b/>
        <sz val="12"/>
        <color theme="1"/>
        <rFont val="Times New Roman"/>
        <family val="1"/>
      </rPr>
      <t xml:space="preserve">FONTE: </t>
    </r>
    <r>
      <rPr>
        <sz val="12"/>
        <color theme="1"/>
        <rFont val="Times New Roman"/>
        <family val="1"/>
      </rPr>
      <t xml:space="preserve">
Instituto MB - Estatísticas municipais - (Séries Históricas) (http://www.imb.go.gov.br/index.php?option=com_content&amp;view=article&amp;id=91&amp;Itemid=219)
Atlas Brasil (http://atlasbrasil.org.br/2013/pt/consulta/)
IBGE Cidades - (https://cidades.ibge.gov.br/)</t>
    </r>
  </si>
  <si>
    <r>
      <t>IMCF</t>
    </r>
    <r>
      <rPr>
        <b/>
        <vertAlign val="superscript"/>
        <sz val="12"/>
        <rFont val="Times New Roman"/>
        <family val="1"/>
      </rPr>
      <t>1</t>
    </r>
  </si>
  <si>
    <r>
      <t>IDHM</t>
    </r>
    <r>
      <rPr>
        <b/>
        <vertAlign val="superscript"/>
        <sz val="12"/>
        <rFont val="Times New Roman"/>
        <family val="1"/>
      </rPr>
      <t>2</t>
    </r>
  </si>
  <si>
    <r>
      <t>PIB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 xml:space="preserve"> per capita (R$)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</si>
</sst>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vertAlign val="super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9" fontId="2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9" fontId="2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9" fontId="6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43" fontId="2" fillId="2" borderId="7" xfId="1" applyFont="1" applyFill="1" applyBorder="1" applyAlignment="1">
      <alignment vertical="center" wrapText="1"/>
    </xf>
    <xf numFmtId="43" fontId="2" fillId="2" borderId="7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2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yscylla-cz\Downloads\AtlasBrasil_Consul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as Brasil"/>
    </sheetNames>
    <sheetDataSet>
      <sheetData sheetId="0">
        <row r="3">
          <cell r="B3" t="str">
            <v>Abadia de Goiás</v>
          </cell>
          <cell r="C3">
            <v>0.70799999999999996</v>
          </cell>
        </row>
        <row r="4">
          <cell r="B4" t="str">
            <v>Abadiânia</v>
          </cell>
          <cell r="C4">
            <v>0.68899999999999995</v>
          </cell>
        </row>
        <row r="5">
          <cell r="B5" t="str">
            <v>Acreúna</v>
          </cell>
          <cell r="C5">
            <v>0.68600000000000005</v>
          </cell>
        </row>
        <row r="6">
          <cell r="B6" t="str">
            <v>Adelândia</v>
          </cell>
          <cell r="C6">
            <v>0.70199999999999996</v>
          </cell>
        </row>
        <row r="7">
          <cell r="B7" t="str">
            <v>Água Fria de Goiás</v>
          </cell>
          <cell r="C7">
            <v>0.67100000000000004</v>
          </cell>
        </row>
        <row r="8">
          <cell r="B8" t="str">
            <v>Água Limpa</v>
          </cell>
          <cell r="C8">
            <v>0.72199999999999998</v>
          </cell>
        </row>
        <row r="9">
          <cell r="B9" t="str">
            <v>Águas Lindas de Goiás</v>
          </cell>
          <cell r="C9">
            <v>0.68600000000000005</v>
          </cell>
        </row>
        <row r="10">
          <cell r="B10" t="str">
            <v>Alexânia</v>
          </cell>
          <cell r="C10">
            <v>0.68200000000000005</v>
          </cell>
        </row>
        <row r="11">
          <cell r="B11" t="str">
            <v>Aloândia</v>
          </cell>
          <cell r="C11">
            <v>0.69699999999999995</v>
          </cell>
        </row>
        <row r="12">
          <cell r="B12" t="str">
            <v>Alto Horizonte</v>
          </cell>
          <cell r="C12">
            <v>0.71899999999999997</v>
          </cell>
        </row>
        <row r="13">
          <cell r="B13" t="str">
            <v>Alto Paraíso de Goiás</v>
          </cell>
          <cell r="C13">
            <v>0.71299999999999997</v>
          </cell>
        </row>
        <row r="14">
          <cell r="B14" t="str">
            <v>Alvorada do Norte</v>
          </cell>
          <cell r="C14">
            <v>0.66</v>
          </cell>
        </row>
        <row r="15">
          <cell r="B15" t="str">
            <v>Amaralina</v>
          </cell>
          <cell r="C15">
            <v>0.60899999999999999</v>
          </cell>
        </row>
        <row r="16">
          <cell r="B16" t="str">
            <v>Americano do Brasil</v>
          </cell>
          <cell r="C16">
            <v>0.7</v>
          </cell>
        </row>
        <row r="17">
          <cell r="B17" t="str">
            <v>Amorinópolis</v>
          </cell>
          <cell r="C17">
            <v>0.68100000000000005</v>
          </cell>
        </row>
        <row r="18">
          <cell r="B18" t="str">
            <v>Anápolis</v>
          </cell>
          <cell r="C18">
            <v>0.73699999999999999</v>
          </cell>
        </row>
        <row r="19">
          <cell r="B19" t="str">
            <v>Anhanguera</v>
          </cell>
          <cell r="C19">
            <v>0.72499999999999998</v>
          </cell>
        </row>
        <row r="20">
          <cell r="B20" t="str">
            <v>Anicuns</v>
          </cell>
          <cell r="C20">
            <v>0.71399999999999997</v>
          </cell>
        </row>
        <row r="21">
          <cell r="B21" t="str">
            <v>Aparecida de Goiânia</v>
          </cell>
          <cell r="C21">
            <v>0.71799999999999997</v>
          </cell>
        </row>
        <row r="22">
          <cell r="B22" t="str">
            <v>Aparecida do Rio Doce</v>
          </cell>
          <cell r="C22">
            <v>0.69299999999999995</v>
          </cell>
        </row>
        <row r="23">
          <cell r="B23" t="str">
            <v>Aporé</v>
          </cell>
          <cell r="C23">
            <v>0.69299999999999995</v>
          </cell>
        </row>
        <row r="24">
          <cell r="B24" t="str">
            <v>Araçu</v>
          </cell>
          <cell r="C24">
            <v>0.69299999999999995</v>
          </cell>
        </row>
        <row r="25">
          <cell r="B25" t="str">
            <v>Aragarças</v>
          </cell>
          <cell r="C25">
            <v>0.73199999999999998</v>
          </cell>
        </row>
        <row r="26">
          <cell r="B26" t="str">
            <v>Aragoiânia</v>
          </cell>
          <cell r="C26">
            <v>0.68400000000000005</v>
          </cell>
        </row>
        <row r="27">
          <cell r="B27" t="str">
            <v>Araguapaz</v>
          </cell>
          <cell r="C27">
            <v>0.67400000000000004</v>
          </cell>
        </row>
        <row r="28">
          <cell r="B28" t="str">
            <v>Arenópolis</v>
          </cell>
          <cell r="C28">
            <v>0.68700000000000006</v>
          </cell>
        </row>
        <row r="29">
          <cell r="B29" t="str">
            <v>Aruanã</v>
          </cell>
          <cell r="C29">
            <v>0.67500000000000004</v>
          </cell>
        </row>
        <row r="30">
          <cell r="B30" t="str">
            <v>Aurilândia</v>
          </cell>
          <cell r="C30">
            <v>0.7</v>
          </cell>
        </row>
        <row r="31">
          <cell r="B31" t="str">
            <v>Avelinópolis</v>
          </cell>
          <cell r="C31">
            <v>0.66</v>
          </cell>
        </row>
        <row r="32">
          <cell r="B32" t="str">
            <v>Baliza</v>
          </cell>
          <cell r="C32">
            <v>0.65500000000000003</v>
          </cell>
        </row>
        <row r="33">
          <cell r="B33" t="str">
            <v>Barro Alto</v>
          </cell>
          <cell r="C33">
            <v>0.74199999999999999</v>
          </cell>
        </row>
        <row r="34">
          <cell r="B34" t="str">
            <v>Bela Vista de Goiás</v>
          </cell>
          <cell r="C34">
            <v>0.71599999999999997</v>
          </cell>
        </row>
        <row r="35">
          <cell r="B35" t="str">
            <v>Bom Jardim de Goiás</v>
          </cell>
          <cell r="C35">
            <v>0.67</v>
          </cell>
        </row>
        <row r="36">
          <cell r="B36" t="str">
            <v>Bom Jesus de Goiás</v>
          </cell>
          <cell r="C36">
            <v>0.70099999999999996</v>
          </cell>
        </row>
        <row r="37">
          <cell r="B37" t="str">
            <v>Bonfinópolis</v>
          </cell>
          <cell r="C37">
            <v>0.68300000000000005</v>
          </cell>
        </row>
        <row r="38">
          <cell r="B38" t="str">
            <v>Bonópolis</v>
          </cell>
          <cell r="C38">
            <v>0.63</v>
          </cell>
        </row>
        <row r="39">
          <cell r="B39" t="str">
            <v>Brazabrantes</v>
          </cell>
          <cell r="C39">
            <v>0.70099999999999996</v>
          </cell>
        </row>
        <row r="40">
          <cell r="B40" t="str">
            <v>Britânia</v>
          </cell>
          <cell r="C40">
            <v>0.67200000000000004</v>
          </cell>
        </row>
        <row r="41">
          <cell r="B41" t="str">
            <v>Buriti Alegre</v>
          </cell>
          <cell r="C41">
            <v>0.71</v>
          </cell>
        </row>
        <row r="42">
          <cell r="B42" t="str">
            <v>Buriti de Goiás</v>
          </cell>
          <cell r="C42">
            <v>0.68700000000000006</v>
          </cell>
        </row>
        <row r="43">
          <cell r="B43" t="str">
            <v>Buritinópolis</v>
          </cell>
          <cell r="C43">
            <v>0.70399999999999996</v>
          </cell>
        </row>
        <row r="44">
          <cell r="B44" t="str">
            <v>Cabeceiras</v>
          </cell>
          <cell r="C44">
            <v>0.66800000000000004</v>
          </cell>
        </row>
        <row r="45">
          <cell r="B45" t="str">
            <v>Cachoeira Alta</v>
          </cell>
          <cell r="C45">
            <v>0.71</v>
          </cell>
        </row>
        <row r="46">
          <cell r="B46" t="str">
            <v>Cachoeira de Goiás</v>
          </cell>
          <cell r="C46">
            <v>0.72699999999999998</v>
          </cell>
        </row>
        <row r="47">
          <cell r="B47" t="str">
            <v>Cachoeira Dourada</v>
          </cell>
          <cell r="C47">
            <v>0.69799999999999995</v>
          </cell>
        </row>
        <row r="48">
          <cell r="B48" t="str">
            <v>Caçu</v>
          </cell>
          <cell r="C48">
            <v>0.73</v>
          </cell>
        </row>
        <row r="49">
          <cell r="B49" t="str">
            <v>Caiapônia</v>
          </cell>
          <cell r="C49">
            <v>0.69299999999999995</v>
          </cell>
        </row>
        <row r="50">
          <cell r="B50" t="str">
            <v>Caldas Novas</v>
          </cell>
          <cell r="C50">
            <v>0.73299999999999998</v>
          </cell>
        </row>
        <row r="51">
          <cell r="B51" t="str">
            <v>Caldazinha</v>
          </cell>
          <cell r="C51">
            <v>0.68500000000000005</v>
          </cell>
        </row>
        <row r="52">
          <cell r="B52" t="str">
            <v>Campestre de Goiás</v>
          </cell>
          <cell r="C52">
            <v>0.65300000000000002</v>
          </cell>
        </row>
        <row r="53">
          <cell r="B53" t="str">
            <v>Campinaçu</v>
          </cell>
          <cell r="C53">
            <v>0.63100000000000001</v>
          </cell>
        </row>
        <row r="54">
          <cell r="B54" t="str">
            <v>Campinorte</v>
          </cell>
          <cell r="C54">
            <v>0.68799999999999994</v>
          </cell>
        </row>
        <row r="55">
          <cell r="B55" t="str">
            <v>Campo Alegre de Goiás</v>
          </cell>
          <cell r="C55">
            <v>0.69399999999999995</v>
          </cell>
        </row>
        <row r="56">
          <cell r="B56" t="str">
            <v>Campo Limpo de Goiás</v>
          </cell>
          <cell r="C56">
            <v>0.66100000000000003</v>
          </cell>
        </row>
        <row r="57">
          <cell r="B57" t="str">
            <v>Campos Belos</v>
          </cell>
          <cell r="C57">
            <v>0.69199999999999995</v>
          </cell>
        </row>
        <row r="58">
          <cell r="B58" t="str">
            <v>Campos Verdes</v>
          </cell>
          <cell r="C58">
            <v>0.65400000000000003</v>
          </cell>
        </row>
        <row r="59">
          <cell r="B59" t="str">
            <v>Carmo do Rio Verde</v>
          </cell>
          <cell r="C59">
            <v>0.71299999999999997</v>
          </cell>
        </row>
        <row r="60">
          <cell r="B60" t="str">
            <v>Castelândia</v>
          </cell>
          <cell r="C60">
            <v>0.70099999999999996</v>
          </cell>
        </row>
        <row r="61">
          <cell r="B61" t="str">
            <v>Catalão</v>
          </cell>
          <cell r="C61">
            <v>0.76600000000000001</v>
          </cell>
        </row>
        <row r="62">
          <cell r="B62" t="str">
            <v>Caturaí</v>
          </cell>
          <cell r="C62">
            <v>0.66400000000000003</v>
          </cell>
        </row>
        <row r="63">
          <cell r="B63" t="str">
            <v>Cavalcante</v>
          </cell>
          <cell r="C63">
            <v>0.58399999999999996</v>
          </cell>
        </row>
        <row r="64">
          <cell r="B64" t="str">
            <v>Ceres</v>
          </cell>
          <cell r="C64">
            <v>0.77500000000000002</v>
          </cell>
        </row>
        <row r="65">
          <cell r="B65" t="str">
            <v>Cezarina</v>
          </cell>
          <cell r="C65">
            <v>0.71099999999999997</v>
          </cell>
        </row>
        <row r="66">
          <cell r="B66" t="str">
            <v>Chapadão do Céu</v>
          </cell>
          <cell r="C66">
            <v>0.74199999999999999</v>
          </cell>
        </row>
        <row r="67">
          <cell r="B67" t="str">
            <v>Cidade Ocidental</v>
          </cell>
          <cell r="C67">
            <v>0.71699999999999997</v>
          </cell>
        </row>
        <row r="68">
          <cell r="B68" t="str">
            <v>Cocalzinho de Goiás</v>
          </cell>
          <cell r="C68">
            <v>0.65700000000000003</v>
          </cell>
        </row>
        <row r="69">
          <cell r="B69" t="str">
            <v>Colinas do Sul</v>
          </cell>
          <cell r="C69">
            <v>0.65800000000000003</v>
          </cell>
        </row>
        <row r="70">
          <cell r="B70" t="str">
            <v>Córrego do Ouro</v>
          </cell>
          <cell r="C70">
            <v>0.68600000000000005</v>
          </cell>
        </row>
        <row r="71">
          <cell r="B71" t="str">
            <v>Corumbá de Goiás</v>
          </cell>
          <cell r="C71">
            <v>0.68</v>
          </cell>
        </row>
        <row r="72">
          <cell r="B72" t="str">
            <v>Corumbaíba</v>
          </cell>
          <cell r="C72">
            <v>0.69799999999999995</v>
          </cell>
        </row>
        <row r="73">
          <cell r="B73" t="str">
            <v>Cristalina</v>
          </cell>
          <cell r="C73">
            <v>0.69899999999999995</v>
          </cell>
        </row>
        <row r="74">
          <cell r="B74" t="str">
            <v>Cristianópolis</v>
          </cell>
          <cell r="C74">
            <v>0.68799999999999994</v>
          </cell>
        </row>
        <row r="75">
          <cell r="B75" t="str">
            <v>Crixás</v>
          </cell>
          <cell r="C75">
            <v>0.70799999999999996</v>
          </cell>
        </row>
        <row r="76">
          <cell r="B76" t="str">
            <v>Cromínia</v>
          </cell>
          <cell r="C76">
            <v>0.70599999999999996</v>
          </cell>
        </row>
        <row r="77">
          <cell r="B77" t="str">
            <v>Cumari</v>
          </cell>
          <cell r="C77">
            <v>0.73699999999999999</v>
          </cell>
        </row>
        <row r="78">
          <cell r="B78" t="str">
            <v>Damianópolis</v>
          </cell>
          <cell r="C78">
            <v>0.65400000000000003</v>
          </cell>
        </row>
        <row r="79">
          <cell r="B79" t="str">
            <v>Damolândia</v>
          </cell>
          <cell r="C79">
            <v>0.69699999999999995</v>
          </cell>
        </row>
        <row r="80">
          <cell r="B80" t="str">
            <v>Davinópolis</v>
          </cell>
          <cell r="C80">
            <v>0.71599999999999997</v>
          </cell>
        </row>
        <row r="81">
          <cell r="B81" t="str">
            <v>Diorama</v>
          </cell>
          <cell r="C81">
            <v>0.72899999999999998</v>
          </cell>
        </row>
        <row r="82">
          <cell r="B82" t="str">
            <v>Divinópolis de Goiás</v>
          </cell>
          <cell r="C82">
            <v>0.65300000000000002</v>
          </cell>
        </row>
        <row r="83">
          <cell r="B83" t="str">
            <v>Doverlândia</v>
          </cell>
          <cell r="C83">
            <v>0.66800000000000004</v>
          </cell>
        </row>
        <row r="84">
          <cell r="B84" t="str">
            <v>Edealina</v>
          </cell>
          <cell r="C84">
            <v>0.70199999999999996</v>
          </cell>
        </row>
        <row r="85">
          <cell r="B85" t="str">
            <v>Edéia</v>
          </cell>
          <cell r="C85">
            <v>0.73899999999999999</v>
          </cell>
        </row>
        <row r="86">
          <cell r="B86" t="str">
            <v>Estrela do Norte</v>
          </cell>
          <cell r="C86">
            <v>0.70699999999999996</v>
          </cell>
        </row>
        <row r="87">
          <cell r="B87" t="str">
            <v>Faina</v>
          </cell>
          <cell r="C87">
            <v>0.65</v>
          </cell>
        </row>
        <row r="88">
          <cell r="B88" t="str">
            <v>Fazenda Nova</v>
          </cell>
          <cell r="C88">
            <v>0.68500000000000005</v>
          </cell>
        </row>
        <row r="89">
          <cell r="B89" t="str">
            <v>Firminópolis</v>
          </cell>
          <cell r="C89">
            <v>0.73199999999999998</v>
          </cell>
        </row>
        <row r="90">
          <cell r="B90" t="str">
            <v>Flores de Goiás</v>
          </cell>
          <cell r="C90">
            <v>0.59699999999999998</v>
          </cell>
        </row>
        <row r="91">
          <cell r="B91" t="str">
            <v>Formosa</v>
          </cell>
          <cell r="C91">
            <v>0.74399999999999999</v>
          </cell>
        </row>
        <row r="92">
          <cell r="B92" t="str">
            <v>Formoso</v>
          </cell>
          <cell r="C92">
            <v>0.71499999999999997</v>
          </cell>
        </row>
        <row r="93">
          <cell r="B93" t="str">
            <v>Gameleira de Goiás</v>
          </cell>
          <cell r="C93">
            <v>0.65900000000000003</v>
          </cell>
        </row>
        <row r="94">
          <cell r="B94" t="str">
            <v>Goianápolis</v>
          </cell>
          <cell r="C94">
            <v>0.70299999999999996</v>
          </cell>
        </row>
        <row r="95">
          <cell r="B95" t="str">
            <v>Goiandira</v>
          </cell>
          <cell r="C95">
            <v>0.76</v>
          </cell>
        </row>
        <row r="96">
          <cell r="B96" t="str">
            <v>Goianésia</v>
          </cell>
          <cell r="C96">
            <v>0.72699999999999998</v>
          </cell>
        </row>
        <row r="97">
          <cell r="B97" t="str">
            <v>Goiânia</v>
          </cell>
          <cell r="C97">
            <v>0.79900000000000004</v>
          </cell>
        </row>
        <row r="98">
          <cell r="B98" t="str">
            <v>Goianira</v>
          </cell>
          <cell r="C98">
            <v>0.69399999999999995</v>
          </cell>
        </row>
        <row r="99">
          <cell r="B99" t="str">
            <v>Goiás</v>
          </cell>
          <cell r="C99">
            <v>0.70899999999999996</v>
          </cell>
        </row>
        <row r="100">
          <cell r="B100" t="str">
            <v>Goiatuba</v>
          </cell>
          <cell r="C100">
            <v>0.72499999999999998</v>
          </cell>
        </row>
        <row r="101">
          <cell r="B101" t="str">
            <v>Gouvelândia</v>
          </cell>
          <cell r="C101">
            <v>0.67400000000000004</v>
          </cell>
        </row>
        <row r="102">
          <cell r="B102" t="str">
            <v>Guapó</v>
          </cell>
          <cell r="C102">
            <v>0.69699999999999995</v>
          </cell>
        </row>
        <row r="103">
          <cell r="B103" t="str">
            <v>Guaraíta</v>
          </cell>
          <cell r="C103">
            <v>0.68700000000000006</v>
          </cell>
        </row>
        <row r="104">
          <cell r="B104" t="str">
            <v>Guarani de Goiás</v>
          </cell>
          <cell r="C104">
            <v>0.63700000000000001</v>
          </cell>
        </row>
        <row r="105">
          <cell r="B105" t="str">
            <v>Guarinos</v>
          </cell>
          <cell r="C105">
            <v>0.65200000000000002</v>
          </cell>
        </row>
        <row r="106">
          <cell r="B106" t="str">
            <v>Heitoraí</v>
          </cell>
          <cell r="C106">
            <v>0.69399999999999995</v>
          </cell>
        </row>
        <row r="107">
          <cell r="B107" t="str">
            <v>Hidrolândia</v>
          </cell>
          <cell r="C107">
            <v>0.70599999999999996</v>
          </cell>
        </row>
        <row r="108">
          <cell r="B108" t="str">
            <v>Hidrolina</v>
          </cell>
          <cell r="C108">
            <v>0.67700000000000005</v>
          </cell>
        </row>
        <row r="109">
          <cell r="B109" t="str">
            <v>Iaciara</v>
          </cell>
          <cell r="C109">
            <v>0.64400000000000002</v>
          </cell>
        </row>
        <row r="110">
          <cell r="B110" t="str">
            <v>Inaciolândia</v>
          </cell>
          <cell r="C110">
            <v>0.69199999999999995</v>
          </cell>
        </row>
        <row r="111">
          <cell r="B111" t="str">
            <v>Indiara</v>
          </cell>
          <cell r="C111">
            <v>0.70099999999999996</v>
          </cell>
        </row>
        <row r="112">
          <cell r="B112" t="str">
            <v>Inhumas</v>
          </cell>
          <cell r="C112">
            <v>0.72</v>
          </cell>
        </row>
        <row r="113">
          <cell r="B113" t="str">
            <v>Ipameri</v>
          </cell>
          <cell r="C113">
            <v>0.70099999999999996</v>
          </cell>
        </row>
        <row r="114">
          <cell r="B114" t="str">
            <v>Ipiranga de Goiás</v>
          </cell>
          <cell r="C114">
            <v>0.69599999999999995</v>
          </cell>
        </row>
        <row r="115">
          <cell r="B115" t="str">
            <v>Iporá</v>
          </cell>
          <cell r="C115">
            <v>0.74299999999999999</v>
          </cell>
        </row>
        <row r="116">
          <cell r="B116" t="str">
            <v>Israelândia</v>
          </cell>
          <cell r="C116">
            <v>0.71099999999999997</v>
          </cell>
        </row>
        <row r="117">
          <cell r="B117" t="str">
            <v>Itaberaí</v>
          </cell>
          <cell r="C117">
            <v>0.71899999999999997</v>
          </cell>
        </row>
        <row r="118">
          <cell r="B118" t="str">
            <v>Itaguari</v>
          </cell>
          <cell r="C118">
            <v>0.69299999999999995</v>
          </cell>
        </row>
        <row r="119">
          <cell r="B119" t="str">
            <v>Itaguaru</v>
          </cell>
          <cell r="C119">
            <v>0.71799999999999997</v>
          </cell>
        </row>
        <row r="120">
          <cell r="B120" t="str">
            <v>Itajá</v>
          </cell>
          <cell r="C120">
            <v>0.69099999999999995</v>
          </cell>
        </row>
        <row r="121">
          <cell r="B121" t="str">
            <v>Itapaci</v>
          </cell>
          <cell r="C121">
            <v>0.72499999999999998</v>
          </cell>
        </row>
        <row r="122">
          <cell r="B122" t="str">
            <v>Itapirapuã</v>
          </cell>
          <cell r="C122">
            <v>0.67700000000000005</v>
          </cell>
        </row>
        <row r="123">
          <cell r="B123" t="str">
            <v>Itapuranga</v>
          </cell>
          <cell r="C123">
            <v>0.72599999999999998</v>
          </cell>
        </row>
        <row r="124">
          <cell r="B124" t="str">
            <v>Itarumã</v>
          </cell>
          <cell r="C124">
            <v>0.69299999999999995</v>
          </cell>
        </row>
        <row r="125">
          <cell r="B125" t="str">
            <v>Itauçu</v>
          </cell>
          <cell r="C125">
            <v>0.71799999999999997</v>
          </cell>
        </row>
        <row r="126">
          <cell r="B126" t="str">
            <v>Itumbiara</v>
          </cell>
          <cell r="C126">
            <v>0.752</v>
          </cell>
        </row>
        <row r="127">
          <cell r="B127" t="str">
            <v>Ivolândia</v>
          </cell>
          <cell r="C127">
            <v>0.70399999999999996</v>
          </cell>
        </row>
        <row r="128">
          <cell r="B128" t="str">
            <v>Jandaia</v>
          </cell>
          <cell r="C128">
            <v>0.70699999999999996</v>
          </cell>
        </row>
        <row r="129">
          <cell r="B129" t="str">
            <v>Jaraguá</v>
          </cell>
          <cell r="C129">
            <v>0.69899999999999995</v>
          </cell>
        </row>
        <row r="130">
          <cell r="B130" t="str">
            <v>Jataí</v>
          </cell>
          <cell r="C130">
            <v>0.75700000000000001</v>
          </cell>
        </row>
        <row r="131">
          <cell r="B131" t="str">
            <v>Jaupaci</v>
          </cell>
          <cell r="C131">
            <v>0.68899999999999995</v>
          </cell>
        </row>
        <row r="132">
          <cell r="B132" t="str">
            <v>Jesúpolis</v>
          </cell>
          <cell r="C132">
            <v>0.64900000000000002</v>
          </cell>
        </row>
        <row r="133">
          <cell r="B133" t="str">
            <v>Joviânia</v>
          </cell>
          <cell r="C133">
            <v>0.70599999999999996</v>
          </cell>
        </row>
        <row r="134">
          <cell r="B134" t="str">
            <v>Jussara</v>
          </cell>
          <cell r="C134">
            <v>0.74299999999999999</v>
          </cell>
        </row>
        <row r="135">
          <cell r="B135" t="str">
            <v>Lagoa Santa</v>
          </cell>
          <cell r="C135">
            <v>0.74</v>
          </cell>
        </row>
        <row r="136">
          <cell r="B136" t="str">
            <v>Leopoldo de Bulhões</v>
          </cell>
          <cell r="C136">
            <v>0.65900000000000003</v>
          </cell>
        </row>
        <row r="137">
          <cell r="B137" t="str">
            <v>Luziânia</v>
          </cell>
          <cell r="C137">
            <v>0.70099999999999996</v>
          </cell>
        </row>
        <row r="138">
          <cell r="B138" t="str">
            <v>Mairipotaba</v>
          </cell>
          <cell r="C138">
            <v>0.745</v>
          </cell>
        </row>
        <row r="139">
          <cell r="B139" t="str">
            <v>Mambaí</v>
          </cell>
          <cell r="C139">
            <v>0.626</v>
          </cell>
        </row>
        <row r="140">
          <cell r="B140" t="str">
            <v>Mara Rosa</v>
          </cell>
          <cell r="C140">
            <v>0.69099999999999995</v>
          </cell>
        </row>
        <row r="141">
          <cell r="B141" t="str">
            <v>Marzagão</v>
          </cell>
          <cell r="C141">
            <v>0.69899999999999995</v>
          </cell>
        </row>
        <row r="142">
          <cell r="B142" t="str">
            <v>Matrinchã</v>
          </cell>
          <cell r="C142">
            <v>0.67900000000000005</v>
          </cell>
        </row>
        <row r="143">
          <cell r="B143" t="str">
            <v>Maurilândia</v>
          </cell>
          <cell r="C143">
            <v>0.67700000000000005</v>
          </cell>
        </row>
        <row r="144">
          <cell r="B144" t="str">
            <v>Mimoso de Goiás</v>
          </cell>
          <cell r="C144">
            <v>0.66500000000000004</v>
          </cell>
        </row>
        <row r="145">
          <cell r="B145" t="str">
            <v>Minaçu</v>
          </cell>
          <cell r="C145">
            <v>0.70699999999999996</v>
          </cell>
        </row>
        <row r="146">
          <cell r="B146" t="str">
            <v>Mineiros</v>
          </cell>
          <cell r="C146">
            <v>0.71799999999999997</v>
          </cell>
        </row>
        <row r="147">
          <cell r="B147" t="str">
            <v>Moiporá</v>
          </cell>
          <cell r="C147">
            <v>0.69599999999999995</v>
          </cell>
        </row>
        <row r="148">
          <cell r="B148" t="str">
            <v>Monte Alegre de Goiás</v>
          </cell>
          <cell r="C148">
            <v>0.61499999999999999</v>
          </cell>
        </row>
        <row r="149">
          <cell r="B149" t="str">
            <v>Montes Claros de Goiás</v>
          </cell>
          <cell r="C149">
            <v>0.70699999999999996</v>
          </cell>
        </row>
        <row r="150">
          <cell r="B150" t="str">
            <v>Montividiu</v>
          </cell>
          <cell r="C150">
            <v>0.73299999999999998</v>
          </cell>
        </row>
        <row r="151">
          <cell r="B151" t="str">
            <v>Montividiu do Norte</v>
          </cell>
          <cell r="C151">
            <v>0.61299999999999999</v>
          </cell>
        </row>
        <row r="152">
          <cell r="B152" t="str">
            <v>Morrinhos</v>
          </cell>
          <cell r="C152">
            <v>0.73399999999999999</v>
          </cell>
        </row>
        <row r="153">
          <cell r="B153" t="str">
            <v>Morro Agudo de Goiás</v>
          </cell>
          <cell r="C153">
            <v>0.69499999999999995</v>
          </cell>
        </row>
        <row r="154">
          <cell r="B154" t="str">
            <v>Mossâmedes</v>
          </cell>
          <cell r="C154">
            <v>0.70599999999999996</v>
          </cell>
        </row>
        <row r="155">
          <cell r="B155" t="str">
            <v>Mozarlândia</v>
          </cell>
          <cell r="C155">
            <v>0.68300000000000005</v>
          </cell>
        </row>
        <row r="156">
          <cell r="B156" t="str">
            <v>Mundo Novo</v>
          </cell>
          <cell r="C156">
            <v>0.63400000000000001</v>
          </cell>
        </row>
        <row r="157">
          <cell r="B157" t="str">
            <v>Mutunópolis</v>
          </cell>
          <cell r="C157">
            <v>0.68</v>
          </cell>
        </row>
        <row r="158">
          <cell r="B158" t="str">
            <v>Nazário</v>
          </cell>
          <cell r="C158">
            <v>0.71</v>
          </cell>
        </row>
        <row r="159">
          <cell r="B159" t="str">
            <v>Nerópolis</v>
          </cell>
          <cell r="C159">
            <v>0.72099999999999997</v>
          </cell>
        </row>
        <row r="160">
          <cell r="B160" t="str">
            <v>Niquelândia</v>
          </cell>
          <cell r="C160">
            <v>0.71499999999999997</v>
          </cell>
        </row>
        <row r="161">
          <cell r="B161" t="str">
            <v>Nova América</v>
          </cell>
          <cell r="C161">
            <v>0.67800000000000005</v>
          </cell>
        </row>
        <row r="162">
          <cell r="B162" t="str">
            <v>Nova Aurora</v>
          </cell>
          <cell r="C162">
            <v>0.747</v>
          </cell>
        </row>
        <row r="163">
          <cell r="B163" t="str">
            <v>Nova Crixás</v>
          </cell>
          <cell r="C163">
            <v>0.64300000000000002</v>
          </cell>
        </row>
        <row r="164">
          <cell r="B164" t="str">
            <v>Nova Glória</v>
          </cell>
          <cell r="C164">
            <v>0.68100000000000005</v>
          </cell>
        </row>
        <row r="165">
          <cell r="B165" t="str">
            <v>Nova Iguaçu de Goiás</v>
          </cell>
          <cell r="C165">
            <v>0.65500000000000003</v>
          </cell>
        </row>
        <row r="166">
          <cell r="B166" t="str">
            <v>Nova Roma</v>
          </cell>
          <cell r="C166">
            <v>0.63400000000000001</v>
          </cell>
        </row>
        <row r="167">
          <cell r="B167" t="str">
            <v>Nova Veneza</v>
          </cell>
          <cell r="C167">
            <v>0.71799999999999997</v>
          </cell>
        </row>
        <row r="168">
          <cell r="B168" t="str">
            <v>Novo Brasil</v>
          </cell>
          <cell r="C168">
            <v>0.69899999999999995</v>
          </cell>
        </row>
        <row r="169">
          <cell r="B169" t="str">
            <v>Novo Gama</v>
          </cell>
          <cell r="C169">
            <v>0.68400000000000005</v>
          </cell>
        </row>
        <row r="170">
          <cell r="B170" t="str">
            <v>Novo Planalto</v>
          </cell>
          <cell r="C170">
            <v>0.65800000000000003</v>
          </cell>
        </row>
        <row r="171">
          <cell r="B171" t="str">
            <v>Orizona</v>
          </cell>
          <cell r="C171">
            <v>0.71499999999999997</v>
          </cell>
        </row>
        <row r="172">
          <cell r="B172" t="str">
            <v>Ouro Verde de Goiás</v>
          </cell>
          <cell r="C172">
            <v>0.71899999999999997</v>
          </cell>
        </row>
        <row r="173">
          <cell r="B173" t="str">
            <v>Ouvidor</v>
          </cell>
          <cell r="C173">
            <v>0.747</v>
          </cell>
        </row>
        <row r="174">
          <cell r="B174" t="str">
            <v>Padre Bernardo</v>
          </cell>
          <cell r="C174">
            <v>0.65100000000000002</v>
          </cell>
        </row>
        <row r="175">
          <cell r="B175" t="str">
            <v>Palestina de Goiás</v>
          </cell>
          <cell r="C175">
            <v>0.71299999999999997</v>
          </cell>
        </row>
        <row r="176">
          <cell r="B176" t="str">
            <v>Palmeiras de Goiás</v>
          </cell>
          <cell r="C176">
            <v>0.69799999999999995</v>
          </cell>
        </row>
        <row r="177">
          <cell r="B177" t="str">
            <v>Palmelo</v>
          </cell>
          <cell r="C177">
            <v>0.73</v>
          </cell>
        </row>
        <row r="178">
          <cell r="B178" t="str">
            <v>Palminópolis</v>
          </cell>
          <cell r="C178">
            <v>0.72199999999999998</v>
          </cell>
        </row>
        <row r="179">
          <cell r="B179" t="str">
            <v>Panamá</v>
          </cell>
          <cell r="C179">
            <v>0.68600000000000005</v>
          </cell>
        </row>
        <row r="180">
          <cell r="B180" t="str">
            <v>Paranaiguara</v>
          </cell>
          <cell r="C180">
            <v>0.71099999999999997</v>
          </cell>
        </row>
        <row r="181">
          <cell r="B181" t="str">
            <v>Paraúna</v>
          </cell>
          <cell r="C181">
            <v>0.67200000000000004</v>
          </cell>
        </row>
        <row r="182">
          <cell r="B182" t="str">
            <v>Perolândia</v>
          </cell>
          <cell r="C182">
            <v>0.67600000000000005</v>
          </cell>
        </row>
        <row r="183">
          <cell r="B183" t="str">
            <v>Petrolina de Goiás</v>
          </cell>
          <cell r="C183">
            <v>0.71199999999999997</v>
          </cell>
        </row>
        <row r="184">
          <cell r="B184" t="str">
            <v>Pilar de Goiás</v>
          </cell>
          <cell r="C184">
            <v>0.68400000000000005</v>
          </cell>
        </row>
        <row r="185">
          <cell r="B185" t="str">
            <v>Piracanjuba</v>
          </cell>
          <cell r="C185">
            <v>0.72099999999999997</v>
          </cell>
        </row>
        <row r="186">
          <cell r="B186" t="str">
            <v>Piranhas</v>
          </cell>
          <cell r="C186">
            <v>0.72099999999999997</v>
          </cell>
        </row>
        <row r="187">
          <cell r="B187" t="str">
            <v>Pirenópolis</v>
          </cell>
          <cell r="C187">
            <v>0.69299999999999995</v>
          </cell>
        </row>
        <row r="188">
          <cell r="B188" t="str">
            <v>Pires do Rio</v>
          </cell>
          <cell r="C188">
            <v>0.74399999999999999</v>
          </cell>
        </row>
        <row r="189">
          <cell r="B189" t="str">
            <v>Planaltina</v>
          </cell>
          <cell r="C189">
            <v>0.66900000000000004</v>
          </cell>
        </row>
        <row r="190">
          <cell r="B190" t="str">
            <v>Pontalina</v>
          </cell>
          <cell r="C190">
            <v>0.68700000000000006</v>
          </cell>
        </row>
        <row r="191">
          <cell r="B191" t="str">
            <v>Porangatu</v>
          </cell>
          <cell r="C191">
            <v>0.72699999999999998</v>
          </cell>
        </row>
        <row r="192">
          <cell r="B192" t="str">
            <v>Porteirão</v>
          </cell>
          <cell r="C192">
            <v>0.68400000000000005</v>
          </cell>
        </row>
        <row r="193">
          <cell r="B193" t="str">
            <v>Portelândia</v>
          </cell>
          <cell r="C193">
            <v>0.65400000000000003</v>
          </cell>
        </row>
        <row r="194">
          <cell r="B194" t="str">
            <v>Posse</v>
          </cell>
          <cell r="C194">
            <v>0.65900000000000003</v>
          </cell>
        </row>
        <row r="195">
          <cell r="B195" t="str">
            <v>Professor Jamil</v>
          </cell>
          <cell r="C195">
            <v>0.68400000000000005</v>
          </cell>
        </row>
        <row r="196">
          <cell r="B196" t="str">
            <v>Quirinópolis</v>
          </cell>
          <cell r="C196">
            <v>0.74</v>
          </cell>
        </row>
        <row r="197">
          <cell r="B197" t="str">
            <v>Rialma</v>
          </cell>
          <cell r="C197">
            <v>0.72699999999999998</v>
          </cell>
        </row>
        <row r="198">
          <cell r="B198" t="str">
            <v>Rianápolis</v>
          </cell>
          <cell r="C198">
            <v>0.69299999999999995</v>
          </cell>
        </row>
        <row r="199">
          <cell r="B199" t="str">
            <v>Rio Quente</v>
          </cell>
          <cell r="C199">
            <v>0.73099999999999998</v>
          </cell>
        </row>
        <row r="200">
          <cell r="B200" t="str">
            <v>Rio Verde</v>
          </cell>
          <cell r="C200">
            <v>0.754</v>
          </cell>
        </row>
        <row r="201">
          <cell r="B201" t="str">
            <v>Rubiataba</v>
          </cell>
          <cell r="C201">
            <v>0.71899999999999997</v>
          </cell>
        </row>
        <row r="202">
          <cell r="B202" t="str">
            <v>Sanclerlândia</v>
          </cell>
          <cell r="C202">
            <v>0.73599999999999999</v>
          </cell>
        </row>
        <row r="203">
          <cell r="B203" t="str">
            <v>Santa Bárbara de Goiás</v>
          </cell>
          <cell r="C203">
            <v>0.70599999999999996</v>
          </cell>
        </row>
        <row r="204">
          <cell r="B204" t="str">
            <v>Santa Cruz de Goiás</v>
          </cell>
          <cell r="C204">
            <v>0.68799999999999994</v>
          </cell>
        </row>
        <row r="205">
          <cell r="B205" t="str">
            <v>Santa Fé de Goiás</v>
          </cell>
          <cell r="C205">
            <v>0.71299999999999997</v>
          </cell>
        </row>
        <row r="206">
          <cell r="B206" t="str">
            <v>Santa Helena de Goiás</v>
          </cell>
          <cell r="C206">
            <v>0.72399999999999998</v>
          </cell>
        </row>
        <row r="207">
          <cell r="B207" t="str">
            <v>Santa Isabel</v>
          </cell>
          <cell r="C207">
            <v>0.68300000000000005</v>
          </cell>
        </row>
        <row r="208">
          <cell r="B208" t="str">
            <v>Santa Rita do Araguaia</v>
          </cell>
          <cell r="C208">
            <v>0.71399999999999997</v>
          </cell>
        </row>
        <row r="209">
          <cell r="B209" t="str">
            <v>Santa Rita do Novo Destino</v>
          </cell>
          <cell r="C209">
            <v>0.63400000000000001</v>
          </cell>
        </row>
        <row r="210">
          <cell r="B210" t="str">
            <v>Santa Rosa de Goiás</v>
          </cell>
          <cell r="C210">
            <v>0.70099999999999996</v>
          </cell>
        </row>
        <row r="211">
          <cell r="B211" t="str">
            <v>Santa Tereza de Goiás</v>
          </cell>
          <cell r="C211">
            <v>0.66500000000000004</v>
          </cell>
        </row>
        <row r="212">
          <cell r="B212" t="str">
            <v>Santa Terezinha de Goiás</v>
          </cell>
          <cell r="C212">
            <v>0.70099999999999996</v>
          </cell>
        </row>
        <row r="213">
          <cell r="B213" t="str">
            <v>Santo Antônio da Barra</v>
          </cell>
          <cell r="C213">
            <v>0.69099999999999995</v>
          </cell>
        </row>
        <row r="214">
          <cell r="B214" t="str">
            <v>Santo Antônio de Goiás</v>
          </cell>
          <cell r="C214">
            <v>0.72299999999999998</v>
          </cell>
        </row>
        <row r="215">
          <cell r="B215" t="str">
            <v>Santo Antônio do Descoberto</v>
          </cell>
          <cell r="C215">
            <v>0.66500000000000004</v>
          </cell>
        </row>
        <row r="216">
          <cell r="B216" t="str">
            <v>São Domingos</v>
          </cell>
          <cell r="C216">
            <v>0.59699999999999998</v>
          </cell>
        </row>
        <row r="217">
          <cell r="B217" t="str">
            <v>São Francisco de Goiás</v>
          </cell>
          <cell r="C217">
            <v>0.65100000000000002</v>
          </cell>
        </row>
        <row r="218">
          <cell r="B218" t="str">
            <v>São João D'Aliança</v>
          </cell>
          <cell r="C218">
            <v>0.68500000000000005</v>
          </cell>
        </row>
        <row r="219">
          <cell r="B219" t="str">
            <v>São João da Paraúna</v>
          </cell>
          <cell r="C219">
            <v>0.72399999999999998</v>
          </cell>
        </row>
        <row r="220">
          <cell r="B220" t="str">
            <v>São Luís de Montes Belos</v>
          </cell>
          <cell r="C220">
            <v>0.73099999999999998</v>
          </cell>
        </row>
        <row r="221">
          <cell r="B221" t="str">
            <v>São Luíz do Norte</v>
          </cell>
          <cell r="C221">
            <v>0.66900000000000004</v>
          </cell>
        </row>
        <row r="222">
          <cell r="B222" t="str">
            <v>São Miguel do Araguaia</v>
          </cell>
          <cell r="C222">
            <v>0.66400000000000003</v>
          </cell>
        </row>
        <row r="223">
          <cell r="B223" t="str">
            <v>São Miguel do Passa Quatro</v>
          </cell>
          <cell r="C223">
            <v>0.69699999999999995</v>
          </cell>
        </row>
        <row r="224">
          <cell r="B224" t="str">
            <v>São Patrício</v>
          </cell>
          <cell r="C224">
            <v>0.69299999999999995</v>
          </cell>
        </row>
        <row r="225">
          <cell r="B225" t="str">
            <v>São Simão</v>
          </cell>
          <cell r="C225">
            <v>0.72</v>
          </cell>
        </row>
        <row r="226">
          <cell r="B226" t="str">
            <v>Senador Canedo</v>
          </cell>
          <cell r="C226">
            <v>0.70099999999999996</v>
          </cell>
        </row>
        <row r="227">
          <cell r="B227" t="str">
            <v>Serranópolis</v>
          </cell>
          <cell r="C227">
            <v>0.68100000000000005</v>
          </cell>
        </row>
        <row r="228">
          <cell r="B228" t="str">
            <v>Silvânia</v>
          </cell>
          <cell r="C228">
            <v>0.70899999999999996</v>
          </cell>
        </row>
        <row r="229">
          <cell r="B229" t="str">
            <v>Simolândia</v>
          </cell>
          <cell r="C229">
            <v>0.64500000000000002</v>
          </cell>
        </row>
        <row r="230">
          <cell r="B230" t="str">
            <v>Sítio D'Abadia</v>
          </cell>
          <cell r="C230">
            <v>0.61699999999999999</v>
          </cell>
        </row>
        <row r="231">
          <cell r="B231" t="str">
            <v>Taquaral de Goiás</v>
          </cell>
          <cell r="C231">
            <v>0.71599999999999997</v>
          </cell>
        </row>
        <row r="232">
          <cell r="B232" t="str">
            <v>Teresina de Goiás</v>
          </cell>
          <cell r="C232">
            <v>0.66100000000000003</v>
          </cell>
        </row>
        <row r="233">
          <cell r="B233" t="str">
            <v>Terezópolis de Goiás</v>
          </cell>
          <cell r="C233">
            <v>0.68500000000000005</v>
          </cell>
        </row>
        <row r="234">
          <cell r="B234" t="str">
            <v>Três Ranchos</v>
          </cell>
          <cell r="C234">
            <v>0.745</v>
          </cell>
        </row>
        <row r="235">
          <cell r="B235" t="str">
            <v>Trindade</v>
          </cell>
          <cell r="C235">
            <v>0.69899999999999995</v>
          </cell>
        </row>
        <row r="236">
          <cell r="B236" t="str">
            <v>Trombas</v>
          </cell>
          <cell r="C236">
            <v>0.65300000000000002</v>
          </cell>
        </row>
        <row r="237">
          <cell r="B237" t="str">
            <v>Turvânia</v>
          </cell>
          <cell r="C237">
            <v>0.69699999999999995</v>
          </cell>
        </row>
        <row r="238">
          <cell r="B238" t="str">
            <v>Turvelândia</v>
          </cell>
          <cell r="C238">
            <v>0.69099999999999995</v>
          </cell>
        </row>
        <row r="239">
          <cell r="B239" t="str">
            <v>Uirapuru</v>
          </cell>
          <cell r="C239">
            <v>0.67</v>
          </cell>
        </row>
        <row r="240">
          <cell r="B240" t="str">
            <v>Uruaçu</v>
          </cell>
          <cell r="C240">
            <v>0.73699999999999999</v>
          </cell>
        </row>
        <row r="241">
          <cell r="B241" t="str">
            <v>Uruana</v>
          </cell>
          <cell r="C241">
            <v>0.70299999999999996</v>
          </cell>
        </row>
        <row r="242">
          <cell r="B242" t="str">
            <v>Urutaí</v>
          </cell>
          <cell r="C242">
            <v>0.73199999999999998</v>
          </cell>
        </row>
        <row r="243">
          <cell r="B243" t="str">
            <v>Valparaíso de Goiás</v>
          </cell>
          <cell r="C243">
            <v>0.746</v>
          </cell>
        </row>
        <row r="244">
          <cell r="B244" t="str">
            <v>Varjão</v>
          </cell>
          <cell r="C244">
            <v>0.68700000000000006</v>
          </cell>
        </row>
        <row r="245">
          <cell r="B245" t="str">
            <v>Vianópolis</v>
          </cell>
          <cell r="C245">
            <v>0.71199999999999997</v>
          </cell>
        </row>
        <row r="246">
          <cell r="B246" t="str">
            <v>Vicentinópolis</v>
          </cell>
          <cell r="C246">
            <v>0.68400000000000005</v>
          </cell>
        </row>
        <row r="247">
          <cell r="B247" t="str">
            <v>Vila Boa</v>
          </cell>
          <cell r="C247">
            <v>0.64700000000000002</v>
          </cell>
        </row>
        <row r="248">
          <cell r="B248" t="str">
            <v>Vila Propício</v>
          </cell>
          <cell r="C248">
            <v>0.63400000000000001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"/>
  <sheetViews>
    <sheetView tabSelected="1" zoomScale="60" zoomScaleNormal="60" zoomScaleSheetLayoutView="100" zoomScalePageLayoutView="160" workbookViewId="0">
      <selection activeCell="J16" sqref="J16"/>
    </sheetView>
  </sheetViews>
  <sheetFormatPr defaultRowHeight="15.75" x14ac:dyDescent="0.25"/>
  <cols>
    <col min="1" max="1" width="37.42578125" style="3" customWidth="1"/>
    <col min="2" max="2" width="30.42578125" style="3" customWidth="1"/>
    <col min="3" max="3" width="48.5703125" style="3" customWidth="1"/>
    <col min="4" max="4" width="18.5703125" style="1" customWidth="1"/>
    <col min="5" max="5" width="12.28515625" style="1" customWidth="1"/>
    <col min="6" max="6" width="15.7109375" style="1" customWidth="1"/>
    <col min="7" max="7" width="24" style="1" customWidth="1"/>
    <col min="8" max="8" width="19.7109375" style="1" customWidth="1"/>
    <col min="9" max="9" width="28.5703125" style="2" customWidth="1"/>
    <col min="10" max="10" width="25.7109375" style="1" customWidth="1"/>
    <col min="11" max="11" width="29.5703125" style="1" customWidth="1"/>
    <col min="12" max="12" width="16" style="1" customWidth="1"/>
    <col min="13" max="13" width="14.7109375" style="1" customWidth="1"/>
    <col min="14" max="14" width="64.5703125" style="3" customWidth="1"/>
    <col min="15" max="15" width="34" style="3" customWidth="1"/>
    <col min="16" max="16384" width="9.140625" style="3"/>
  </cols>
  <sheetData>
    <row r="1" spans="1:15" ht="55.5" customHeight="1" x14ac:dyDescent="0.25">
      <c r="A1" s="61" t="s">
        <v>420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 spans="1:15" ht="31.5" customHeight="1" x14ac:dyDescent="0.25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</row>
    <row r="3" spans="1:15" ht="28.5" customHeight="1" x14ac:dyDescent="0.25">
      <c r="A3" s="64" t="s">
        <v>1</v>
      </c>
      <c r="B3" s="65" t="s">
        <v>23</v>
      </c>
      <c r="C3" s="65" t="s">
        <v>404</v>
      </c>
      <c r="D3" s="65" t="s">
        <v>426</v>
      </c>
      <c r="E3" s="65" t="s">
        <v>427</v>
      </c>
      <c r="F3" s="65" t="s">
        <v>261</v>
      </c>
      <c r="G3" s="65" t="s">
        <v>403</v>
      </c>
      <c r="H3" s="65" t="s">
        <v>428</v>
      </c>
      <c r="I3" s="66" t="s">
        <v>262</v>
      </c>
      <c r="J3" s="65" t="s">
        <v>263</v>
      </c>
      <c r="K3" s="65" t="s">
        <v>264</v>
      </c>
      <c r="L3" s="65" t="s">
        <v>265</v>
      </c>
      <c r="M3" s="65"/>
      <c r="N3" s="65" t="s">
        <v>421</v>
      </c>
      <c r="O3" s="67" t="s">
        <v>242</v>
      </c>
    </row>
    <row r="4" spans="1:15" ht="40.5" customHeight="1" x14ac:dyDescent="0.25">
      <c r="A4" s="64"/>
      <c r="B4" s="65"/>
      <c r="C4" s="65"/>
      <c r="D4" s="65"/>
      <c r="E4" s="65"/>
      <c r="F4" s="65"/>
      <c r="G4" s="65"/>
      <c r="H4" s="65"/>
      <c r="I4" s="66"/>
      <c r="J4" s="65"/>
      <c r="K4" s="65"/>
      <c r="L4" s="68" t="s">
        <v>266</v>
      </c>
      <c r="M4" s="68" t="s">
        <v>267</v>
      </c>
      <c r="N4" s="65"/>
      <c r="O4" s="67"/>
    </row>
    <row r="5" spans="1:15" x14ac:dyDescent="0.25">
      <c r="A5" s="46" t="s">
        <v>408</v>
      </c>
      <c r="B5" s="4" t="s">
        <v>275</v>
      </c>
      <c r="C5" s="5"/>
      <c r="D5" s="39">
        <v>0.18358149552839734</v>
      </c>
      <c r="E5" s="16">
        <v>0.70799999999999996</v>
      </c>
      <c r="F5" s="16" t="s">
        <v>276</v>
      </c>
      <c r="G5" s="17">
        <v>4544</v>
      </c>
      <c r="H5" s="17">
        <v>20664.57</v>
      </c>
      <c r="I5" s="18">
        <v>0.25</v>
      </c>
      <c r="J5" s="19">
        <v>7.03</v>
      </c>
      <c r="K5" s="20">
        <v>3.3E-3</v>
      </c>
      <c r="L5" s="16">
        <v>62</v>
      </c>
      <c r="M5" s="16">
        <v>38</v>
      </c>
      <c r="N5" s="21"/>
      <c r="O5" s="47"/>
    </row>
    <row r="6" spans="1:15" ht="31.5" x14ac:dyDescent="0.25">
      <c r="A6" s="46"/>
      <c r="B6" s="31" t="s">
        <v>2</v>
      </c>
      <c r="C6" s="37" t="s">
        <v>405</v>
      </c>
      <c r="D6" s="40">
        <v>0.13572891401658738</v>
      </c>
      <c r="E6" s="16">
        <v>0.71799999999999997</v>
      </c>
      <c r="F6" s="16" t="s">
        <v>277</v>
      </c>
      <c r="G6" s="17">
        <v>309997</v>
      </c>
      <c r="H6" s="17">
        <v>22070</v>
      </c>
      <c r="I6" s="18">
        <v>17.010000000000002</v>
      </c>
      <c r="J6" s="19">
        <v>4.96</v>
      </c>
      <c r="K6" s="20">
        <v>0.21740000000000001</v>
      </c>
      <c r="L6" s="16">
        <v>100</v>
      </c>
      <c r="M6" s="16">
        <v>0</v>
      </c>
      <c r="N6" s="21" t="s">
        <v>255</v>
      </c>
      <c r="O6" s="47" t="s">
        <v>419</v>
      </c>
    </row>
    <row r="7" spans="1:15" ht="15.75" customHeight="1" x14ac:dyDescent="0.25">
      <c r="A7" s="46"/>
      <c r="B7" s="4" t="s">
        <v>24</v>
      </c>
      <c r="C7" s="5"/>
      <c r="D7" s="39">
        <v>0.18045534712201428</v>
      </c>
      <c r="E7" s="16">
        <v>0.68400000000000005</v>
      </c>
      <c r="F7" s="16" t="s">
        <v>278</v>
      </c>
      <c r="G7" s="17">
        <v>5382</v>
      </c>
      <c r="H7" s="17" t="s">
        <v>402</v>
      </c>
      <c r="I7" s="18">
        <v>0.15</v>
      </c>
      <c r="J7" s="19">
        <v>9.4</v>
      </c>
      <c r="K7" s="20">
        <v>3.8999999999999998E-3</v>
      </c>
      <c r="L7" s="16">
        <v>66</v>
      </c>
      <c r="M7" s="16">
        <v>34</v>
      </c>
      <c r="N7" s="22">
        <v>0</v>
      </c>
      <c r="O7" s="48">
        <v>0</v>
      </c>
    </row>
    <row r="8" spans="1:15" x14ac:dyDescent="0.25">
      <c r="A8" s="46"/>
      <c r="B8" s="4" t="s">
        <v>25</v>
      </c>
      <c r="C8" s="5"/>
      <c r="D8" s="39">
        <v>0.15798244068592743</v>
      </c>
      <c r="E8" s="16">
        <v>0.71599999999999997</v>
      </c>
      <c r="F8" s="16" t="s">
        <v>279</v>
      </c>
      <c r="G8" s="17">
        <v>16301</v>
      </c>
      <c r="H8" s="17">
        <v>28950.93</v>
      </c>
      <c r="I8" s="18">
        <v>1.23</v>
      </c>
      <c r="J8" s="19">
        <v>8.65</v>
      </c>
      <c r="K8" s="20">
        <v>1.14E-2</v>
      </c>
      <c r="L8" s="16">
        <v>64</v>
      </c>
      <c r="M8" s="16">
        <v>36</v>
      </c>
      <c r="N8" s="22">
        <v>0</v>
      </c>
      <c r="O8" s="48">
        <v>0</v>
      </c>
    </row>
    <row r="9" spans="1:15" ht="16.5" customHeight="1" x14ac:dyDescent="0.25">
      <c r="A9" s="46"/>
      <c r="B9" s="4" t="s">
        <v>26</v>
      </c>
      <c r="C9" s="5"/>
      <c r="D9" s="40">
        <v>0.14911123673136009</v>
      </c>
      <c r="E9" s="16">
        <v>0.68300000000000005</v>
      </c>
      <c r="F9" s="16" t="s">
        <v>280</v>
      </c>
      <c r="G9" s="17">
        <v>4817</v>
      </c>
      <c r="H9" s="17">
        <v>8096.93</v>
      </c>
      <c r="I9" s="18">
        <v>0.1</v>
      </c>
      <c r="J9" s="19">
        <v>9.6300000000000008</v>
      </c>
      <c r="K9" s="20">
        <v>3.5999999999999999E-3</v>
      </c>
      <c r="L9" s="16">
        <v>92</v>
      </c>
      <c r="M9" s="16">
        <v>8</v>
      </c>
      <c r="N9" s="22">
        <v>0</v>
      </c>
      <c r="O9" s="48">
        <v>0</v>
      </c>
    </row>
    <row r="10" spans="1:15" ht="16.5" customHeight="1" x14ac:dyDescent="0.25">
      <c r="A10" s="46"/>
      <c r="B10" s="4" t="s">
        <v>27</v>
      </c>
      <c r="C10" s="5"/>
      <c r="D10" s="40">
        <v>0.15627527090409254</v>
      </c>
      <c r="E10" s="16">
        <v>0.70099999999999996</v>
      </c>
      <c r="F10" s="16" t="s">
        <v>385</v>
      </c>
      <c r="G10" s="17">
        <v>2107</v>
      </c>
      <c r="H10" s="17">
        <v>31857.99</v>
      </c>
      <c r="I10" s="18">
        <v>0.13</v>
      </c>
      <c r="J10" s="19">
        <v>9.99</v>
      </c>
      <c r="K10" s="20">
        <v>1.4E-3</v>
      </c>
      <c r="L10" s="16">
        <v>62</v>
      </c>
      <c r="M10" s="16">
        <v>38</v>
      </c>
      <c r="N10" s="22">
        <v>0</v>
      </c>
      <c r="O10" s="48">
        <v>0</v>
      </c>
    </row>
    <row r="11" spans="1:15" ht="16.5" customHeight="1" x14ac:dyDescent="0.25">
      <c r="A11" s="46"/>
      <c r="B11" s="4" t="s">
        <v>28</v>
      </c>
      <c r="C11" s="5"/>
      <c r="D11" s="40">
        <v>0.14680724932249342</v>
      </c>
      <c r="E11" s="16">
        <v>0.68500000000000005</v>
      </c>
      <c r="F11" s="16" t="s">
        <v>281</v>
      </c>
      <c r="G11" s="17">
        <v>2180</v>
      </c>
      <c r="H11" s="17">
        <v>12144.12</v>
      </c>
      <c r="I11" s="18">
        <v>0.06</v>
      </c>
      <c r="J11" s="19">
        <v>9.74</v>
      </c>
      <c r="K11" s="20">
        <v>1.5E-3</v>
      </c>
      <c r="L11" s="16">
        <v>42</v>
      </c>
      <c r="M11" s="16">
        <v>58</v>
      </c>
      <c r="N11" s="22">
        <v>0</v>
      </c>
      <c r="O11" s="48">
        <v>0</v>
      </c>
    </row>
    <row r="12" spans="1:15" ht="16.5" customHeight="1" x14ac:dyDescent="0.25">
      <c r="A12" s="46"/>
      <c r="B12" s="4" t="s">
        <v>29</v>
      </c>
      <c r="C12" s="5"/>
      <c r="D12" s="39">
        <v>0.17539964476021283</v>
      </c>
      <c r="E12" s="16">
        <v>0.66400000000000003</v>
      </c>
      <c r="F12" s="16" t="s">
        <v>386</v>
      </c>
      <c r="G12" s="17">
        <v>3099</v>
      </c>
      <c r="H12" s="17">
        <v>12451</v>
      </c>
      <c r="I12" s="18">
        <v>0.09</v>
      </c>
      <c r="J12" s="19">
        <v>11.45</v>
      </c>
      <c r="K12" s="20">
        <v>2E-3</v>
      </c>
      <c r="L12" s="16">
        <v>72</v>
      </c>
      <c r="M12" s="16">
        <v>28</v>
      </c>
      <c r="N12" s="22">
        <v>0</v>
      </c>
      <c r="O12" s="48">
        <v>0</v>
      </c>
    </row>
    <row r="13" spans="1:15" ht="16.5" customHeight="1" x14ac:dyDescent="0.25">
      <c r="A13" s="46"/>
      <c r="B13" s="4" t="s">
        <v>30</v>
      </c>
      <c r="C13" s="5"/>
      <c r="D13" s="39">
        <v>0.19046176628971473</v>
      </c>
      <c r="E13" s="16">
        <v>0.70299999999999996</v>
      </c>
      <c r="F13" s="16" t="s">
        <v>282</v>
      </c>
      <c r="G13" s="17">
        <v>6952</v>
      </c>
      <c r="H13" s="17">
        <v>13813</v>
      </c>
      <c r="I13" s="18">
        <v>0.22</v>
      </c>
      <c r="J13" s="19">
        <v>14.86</v>
      </c>
      <c r="K13" s="20">
        <v>4.5999999999999999E-3</v>
      </c>
      <c r="L13" s="16">
        <v>92</v>
      </c>
      <c r="M13" s="16">
        <v>8</v>
      </c>
      <c r="N13" s="22">
        <v>0</v>
      </c>
      <c r="O13" s="48">
        <v>0</v>
      </c>
    </row>
    <row r="14" spans="1:15" ht="31.5" x14ac:dyDescent="0.25">
      <c r="A14" s="46"/>
      <c r="B14" s="36" t="s">
        <v>3</v>
      </c>
      <c r="C14" s="37" t="s">
        <v>406</v>
      </c>
      <c r="D14" s="4">
        <v>0.13600000000000001</v>
      </c>
      <c r="E14" s="16">
        <v>0.79900000000000004</v>
      </c>
      <c r="F14" s="16" t="s">
        <v>283</v>
      </c>
      <c r="G14" s="17">
        <v>906678</v>
      </c>
      <c r="H14" s="17">
        <v>32594</v>
      </c>
      <c r="I14" s="18">
        <v>68.849999999999994</v>
      </c>
      <c r="J14" s="19">
        <v>3.15</v>
      </c>
      <c r="K14" s="20">
        <v>0.58789999999999998</v>
      </c>
      <c r="L14" s="16">
        <v>99</v>
      </c>
      <c r="M14" s="16">
        <v>1</v>
      </c>
      <c r="N14" s="22">
        <v>0</v>
      </c>
      <c r="O14" s="47" t="s">
        <v>419</v>
      </c>
    </row>
    <row r="15" spans="1:15" ht="31.5" x14ac:dyDescent="0.25">
      <c r="A15" s="46"/>
      <c r="B15" s="36"/>
      <c r="C15" s="37" t="s">
        <v>407</v>
      </c>
      <c r="D15" s="4">
        <v>0.13600000000000001</v>
      </c>
      <c r="E15" s="16">
        <v>0.79900000000000004</v>
      </c>
      <c r="F15" s="16" t="s">
        <v>283</v>
      </c>
      <c r="G15" s="17">
        <v>906678</v>
      </c>
      <c r="H15" s="17">
        <v>32594</v>
      </c>
      <c r="I15" s="18">
        <v>68.849999999999994</v>
      </c>
      <c r="J15" s="19">
        <v>3.15</v>
      </c>
      <c r="K15" s="20">
        <v>0.58789999999999998</v>
      </c>
      <c r="L15" s="16">
        <v>99</v>
      </c>
      <c r="M15" s="16">
        <v>1</v>
      </c>
      <c r="N15" s="22">
        <v>0</v>
      </c>
      <c r="O15" s="47" t="s">
        <v>419</v>
      </c>
    </row>
    <row r="16" spans="1:15" ht="16.5" customHeight="1" x14ac:dyDescent="0.25">
      <c r="A16" s="46"/>
      <c r="B16" s="4" t="s">
        <v>31</v>
      </c>
      <c r="C16" s="5"/>
      <c r="D16" s="39">
        <v>0.16058425426196871</v>
      </c>
      <c r="E16" s="16">
        <v>0.69399999999999995</v>
      </c>
      <c r="F16" s="16" t="s">
        <v>284</v>
      </c>
      <c r="G16" s="17">
        <v>22595</v>
      </c>
      <c r="H16" s="17">
        <v>17251</v>
      </c>
      <c r="I16" s="18">
        <v>1.01</v>
      </c>
      <c r="J16" s="19">
        <v>7.64</v>
      </c>
      <c r="K16" s="20">
        <v>1.6500000000000001E-2</v>
      </c>
      <c r="L16" s="16">
        <v>97</v>
      </c>
      <c r="M16" s="16">
        <v>3</v>
      </c>
      <c r="N16" s="22">
        <v>0</v>
      </c>
      <c r="O16" s="48">
        <v>0</v>
      </c>
    </row>
    <row r="17" spans="1:15" ht="16.5" customHeight="1" x14ac:dyDescent="0.25">
      <c r="A17" s="46"/>
      <c r="B17" s="4" t="s">
        <v>32</v>
      </c>
      <c r="C17" s="5"/>
      <c r="D17" s="40">
        <v>0.14461666028830036</v>
      </c>
      <c r="E17" s="16">
        <v>0.69699999999999995</v>
      </c>
      <c r="F17" s="16" t="s">
        <v>285</v>
      </c>
      <c r="G17" s="17">
        <v>9022</v>
      </c>
      <c r="H17" s="17">
        <v>11972</v>
      </c>
      <c r="I17" s="18">
        <v>0.26</v>
      </c>
      <c r="J17" s="19">
        <v>9.99</v>
      </c>
      <c r="K17" s="20">
        <v>5.7999999999999996E-3</v>
      </c>
      <c r="L17" s="16">
        <v>72</v>
      </c>
      <c r="M17" s="16">
        <v>28</v>
      </c>
      <c r="N17" s="22">
        <v>0</v>
      </c>
      <c r="O17" s="48">
        <v>0</v>
      </c>
    </row>
    <row r="18" spans="1:15" ht="16.5" customHeight="1" x14ac:dyDescent="0.25">
      <c r="A18" s="46"/>
      <c r="B18" s="4" t="s">
        <v>33</v>
      </c>
      <c r="C18" s="5"/>
      <c r="D18" s="39">
        <v>0.15975671449595344</v>
      </c>
      <c r="E18" s="16">
        <v>0.70599999999999996</v>
      </c>
      <c r="F18" s="16" t="s">
        <v>286</v>
      </c>
      <c r="G18" s="17">
        <v>11272</v>
      </c>
      <c r="H18" s="17">
        <v>30126</v>
      </c>
      <c r="I18" s="18">
        <v>0.88</v>
      </c>
      <c r="J18" s="19">
        <v>6.51</v>
      </c>
      <c r="K18" s="20">
        <v>8.2000000000000007E-3</v>
      </c>
      <c r="L18" s="16">
        <v>60</v>
      </c>
      <c r="M18" s="16">
        <v>40</v>
      </c>
      <c r="N18" s="22">
        <v>0</v>
      </c>
      <c r="O18" s="48">
        <v>0</v>
      </c>
    </row>
    <row r="19" spans="1:15" ht="16.5" customHeight="1" x14ac:dyDescent="0.25">
      <c r="A19" s="46"/>
      <c r="B19" s="4" t="s">
        <v>34</v>
      </c>
      <c r="C19" s="5"/>
      <c r="D19" s="40">
        <v>0.1395051475725351</v>
      </c>
      <c r="E19" s="16">
        <v>0.72</v>
      </c>
      <c r="F19" s="16" t="s">
        <v>287</v>
      </c>
      <c r="G19" s="17">
        <v>32501</v>
      </c>
      <c r="H19" s="17">
        <v>17850</v>
      </c>
      <c r="I19" s="18">
        <v>1.36</v>
      </c>
      <c r="J19" s="19">
        <v>9.31</v>
      </c>
      <c r="K19" s="20">
        <v>2.1000000000000001E-2</v>
      </c>
      <c r="L19" s="16">
        <v>91</v>
      </c>
      <c r="M19" s="16">
        <v>9</v>
      </c>
      <c r="N19" s="22">
        <v>0</v>
      </c>
      <c r="O19" s="48">
        <v>0</v>
      </c>
    </row>
    <row r="20" spans="1:15" ht="16.5" customHeight="1" x14ac:dyDescent="0.25">
      <c r="A20" s="46"/>
      <c r="B20" s="4" t="s">
        <v>35</v>
      </c>
      <c r="C20" s="5"/>
      <c r="D20" s="40">
        <v>0.14860094142259206</v>
      </c>
      <c r="E20" s="16">
        <v>0.72099999999999997</v>
      </c>
      <c r="F20" s="16" t="s">
        <v>288</v>
      </c>
      <c r="G20" s="17">
        <v>16196</v>
      </c>
      <c r="H20" s="17">
        <v>23187</v>
      </c>
      <c r="I20" s="18">
        <v>0.94</v>
      </c>
      <c r="J20" s="19">
        <v>7.81</v>
      </c>
      <c r="K20" s="20">
        <v>1.1299999999999999E-2</v>
      </c>
      <c r="L20" s="16">
        <v>93</v>
      </c>
      <c r="M20" s="16">
        <v>7</v>
      </c>
      <c r="N20" s="22">
        <v>0</v>
      </c>
      <c r="O20" s="48">
        <v>0</v>
      </c>
    </row>
    <row r="21" spans="1:15" ht="16.5" customHeight="1" x14ac:dyDescent="0.25">
      <c r="A21" s="46"/>
      <c r="B21" s="4" t="s">
        <v>36</v>
      </c>
      <c r="C21" s="5"/>
      <c r="D21" s="4">
        <v>0.14599999999999999</v>
      </c>
      <c r="E21" s="16">
        <v>0.71799999999999997</v>
      </c>
      <c r="F21" s="16" t="s">
        <v>277</v>
      </c>
      <c r="G21" s="17">
        <v>5322</v>
      </c>
      <c r="H21" s="17">
        <v>17435</v>
      </c>
      <c r="I21" s="18">
        <v>0.23</v>
      </c>
      <c r="J21" s="19">
        <v>8.01</v>
      </c>
      <c r="K21" s="20">
        <v>3.8E-3</v>
      </c>
      <c r="L21" s="16">
        <v>83</v>
      </c>
      <c r="M21" s="16">
        <v>17</v>
      </c>
      <c r="N21" s="22">
        <v>0</v>
      </c>
      <c r="O21" s="48">
        <v>0</v>
      </c>
    </row>
    <row r="22" spans="1:15" x14ac:dyDescent="0.25">
      <c r="A22" s="46"/>
      <c r="B22" s="4" t="s">
        <v>37</v>
      </c>
      <c r="C22" s="5"/>
      <c r="D22" s="39">
        <v>0.179906960100195</v>
      </c>
      <c r="E22" s="16">
        <v>0.72299999999999998</v>
      </c>
      <c r="F22" s="16" t="s">
        <v>289</v>
      </c>
      <c r="G22" s="17">
        <v>3165</v>
      </c>
      <c r="H22" s="17">
        <v>23532</v>
      </c>
      <c r="I22" s="18">
        <v>0.19</v>
      </c>
      <c r="J22" s="19">
        <v>7.86</v>
      </c>
      <c r="K22" s="20">
        <v>2.3E-3</v>
      </c>
      <c r="L22" s="16">
        <v>83</v>
      </c>
      <c r="M22" s="16">
        <v>17</v>
      </c>
      <c r="N22" s="22">
        <v>0</v>
      </c>
      <c r="O22" s="48">
        <v>0</v>
      </c>
    </row>
    <row r="23" spans="1:15" x14ac:dyDescent="0.25">
      <c r="A23" s="46"/>
      <c r="B23" s="4" t="s">
        <v>38</v>
      </c>
      <c r="C23" s="5"/>
      <c r="D23" s="40">
        <v>0.12890222817957717</v>
      </c>
      <c r="E23" s="16">
        <v>0.70099999999999996</v>
      </c>
      <c r="F23" s="16" t="s">
        <v>290</v>
      </c>
      <c r="G23" s="17">
        <v>56157</v>
      </c>
      <c r="H23" s="17">
        <v>26761</v>
      </c>
      <c r="I23" s="18">
        <v>3.97</v>
      </c>
      <c r="J23" s="19">
        <v>6.03</v>
      </c>
      <c r="K23" s="20">
        <v>4.2299999999999997E-2</v>
      </c>
      <c r="L23" s="16">
        <v>95</v>
      </c>
      <c r="M23" s="16">
        <v>5</v>
      </c>
      <c r="N23" s="22">
        <v>0</v>
      </c>
      <c r="O23" s="48">
        <v>0</v>
      </c>
    </row>
    <row r="24" spans="1:15" x14ac:dyDescent="0.25">
      <c r="A24" s="46"/>
      <c r="B24" s="4" t="s">
        <v>39</v>
      </c>
      <c r="C24" s="5"/>
      <c r="D24" s="39">
        <v>0.16679725393627312</v>
      </c>
      <c r="E24" s="16">
        <v>0.68500000000000005</v>
      </c>
      <c r="F24" s="16" t="s">
        <v>281</v>
      </c>
      <c r="G24" s="17">
        <v>4198</v>
      </c>
      <c r="H24" s="17">
        <v>23900</v>
      </c>
      <c r="I24" s="18">
        <v>0.26</v>
      </c>
      <c r="J24" s="19">
        <v>11.61</v>
      </c>
      <c r="K24" s="20">
        <v>3.0999999999999999E-3</v>
      </c>
      <c r="L24" s="16">
        <v>71</v>
      </c>
      <c r="M24" s="16">
        <v>29</v>
      </c>
      <c r="N24" s="22">
        <v>0</v>
      </c>
      <c r="O24" s="48">
        <v>0</v>
      </c>
    </row>
    <row r="25" spans="1:15" s="1" customFormat="1" x14ac:dyDescent="0.25">
      <c r="A25" s="46"/>
      <c r="B25" s="4" t="s">
        <v>40</v>
      </c>
      <c r="C25" s="4"/>
      <c r="D25" s="41">
        <v>0.14498146168969464</v>
      </c>
      <c r="E25" s="16">
        <v>0.69899999999999995</v>
      </c>
      <c r="F25" s="16" t="s">
        <v>291</v>
      </c>
      <c r="G25" s="17">
        <v>69363</v>
      </c>
      <c r="H25" s="17">
        <v>16137</v>
      </c>
      <c r="I25" s="18">
        <v>2.8</v>
      </c>
      <c r="J25" s="19">
        <v>7.59</v>
      </c>
      <c r="K25" s="20">
        <v>4.8599999999999997E-2</v>
      </c>
      <c r="L25" s="16">
        <v>96</v>
      </c>
      <c r="M25" s="16">
        <v>4</v>
      </c>
      <c r="N25" s="38">
        <v>0</v>
      </c>
      <c r="O25" s="49">
        <v>0</v>
      </c>
    </row>
    <row r="26" spans="1:15" s="15" customFormat="1" x14ac:dyDescent="0.25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71"/>
    </row>
    <row r="27" spans="1:15" ht="15.75" customHeight="1" x14ac:dyDescent="0.25">
      <c r="A27" s="50" t="s">
        <v>409</v>
      </c>
      <c r="B27" s="6" t="s">
        <v>4</v>
      </c>
      <c r="C27" s="14"/>
      <c r="D27" s="44">
        <v>0.13767445088208857</v>
      </c>
      <c r="E27" s="6">
        <f>VLOOKUP(B27,'[1]Atlas Brasil'!$B$3:$C$248,2,0)</f>
        <v>0.73699999999999999</v>
      </c>
      <c r="F27" s="23" t="s">
        <v>292</v>
      </c>
      <c r="G27" s="6">
        <v>223030</v>
      </c>
      <c r="H27" s="8">
        <v>35372.449999999997</v>
      </c>
      <c r="I27" s="9">
        <v>0.67949999999999999</v>
      </c>
      <c r="J27" s="6">
        <v>5.3</v>
      </c>
      <c r="K27" s="9">
        <v>0.55000000000000004</v>
      </c>
      <c r="L27" s="6">
        <v>328755</v>
      </c>
      <c r="M27" s="6">
        <v>5858</v>
      </c>
      <c r="N27" s="24" t="s">
        <v>260</v>
      </c>
      <c r="O27" s="51">
        <v>0</v>
      </c>
    </row>
    <row r="28" spans="1:15" ht="16.5" customHeight="1" x14ac:dyDescent="0.25">
      <c r="A28" s="50"/>
      <c r="B28" s="6" t="s">
        <v>41</v>
      </c>
      <c r="C28" s="7"/>
      <c r="D28" s="44">
        <v>0.15099979385693643</v>
      </c>
      <c r="E28" s="6">
        <f>VLOOKUP(B28,'[1]Atlas Brasil'!$B$3:$C$248,2,0)</f>
        <v>0.74199999999999999</v>
      </c>
      <c r="F28" s="23" t="s">
        <v>293</v>
      </c>
      <c r="G28" s="6">
        <v>5724</v>
      </c>
      <c r="H28" s="8">
        <v>5458.28</v>
      </c>
      <c r="I28" s="9">
        <v>4.1173609196221456E-2</v>
      </c>
      <c r="J28" s="10">
        <v>11.41</v>
      </c>
      <c r="K28" s="9">
        <v>0.02</v>
      </c>
      <c r="L28" s="6">
        <v>6251</v>
      </c>
      <c r="M28" s="6">
        <v>2465</v>
      </c>
      <c r="N28" s="24">
        <v>0</v>
      </c>
      <c r="O28" s="51">
        <v>0</v>
      </c>
    </row>
    <row r="29" spans="1:15" x14ac:dyDescent="0.25">
      <c r="A29" s="50"/>
      <c r="B29" s="6" t="s">
        <v>42</v>
      </c>
      <c r="C29" s="7"/>
      <c r="D29" s="43">
        <v>0.21402286530903952</v>
      </c>
      <c r="E29" s="6">
        <f>VLOOKUP(B29,'[1]Atlas Brasil'!$B$3:$C$248,2,0)</f>
        <v>0.66100000000000003</v>
      </c>
      <c r="F29" s="23" t="s">
        <v>294</v>
      </c>
      <c r="G29" s="6">
        <v>3941</v>
      </c>
      <c r="H29" s="8">
        <v>11314.24</v>
      </c>
      <c r="I29" s="9">
        <v>4.2303207063524107E-3</v>
      </c>
      <c r="J29" s="10">
        <v>12.2</v>
      </c>
      <c r="K29" s="9">
        <v>0.01</v>
      </c>
      <c r="L29" s="6">
        <v>5289</v>
      </c>
      <c r="M29" s="6">
        <v>952</v>
      </c>
      <c r="N29" s="24">
        <v>0</v>
      </c>
      <c r="O29" s="51">
        <v>0</v>
      </c>
    </row>
    <row r="30" spans="1:15" x14ac:dyDescent="0.25">
      <c r="A30" s="50"/>
      <c r="B30" s="6" t="s">
        <v>43</v>
      </c>
      <c r="C30" s="7"/>
      <c r="D30" s="44">
        <v>0.15569355413105382</v>
      </c>
      <c r="E30" s="6">
        <f>VLOOKUP(B30,'[1]Atlas Brasil'!$B$3:$C$248,2,0)</f>
        <v>0.71299999999999997</v>
      </c>
      <c r="F30" s="23" t="s">
        <v>295</v>
      </c>
      <c r="G30" s="6">
        <v>5850</v>
      </c>
      <c r="H30" s="8">
        <v>25795.29</v>
      </c>
      <c r="I30" s="9">
        <v>1.3048797592014319E-2</v>
      </c>
      <c r="J30" s="10">
        <v>10</v>
      </c>
      <c r="K30" s="9">
        <v>0.01</v>
      </c>
      <c r="L30" s="6">
        <v>7054</v>
      </c>
      <c r="M30" s="6">
        <v>1874</v>
      </c>
      <c r="N30" s="24">
        <v>0</v>
      </c>
      <c r="O30" s="51">
        <v>0</v>
      </c>
    </row>
    <row r="31" spans="1:15" ht="15.75" customHeight="1" x14ac:dyDescent="0.25">
      <c r="A31" s="50"/>
      <c r="B31" s="6" t="s">
        <v>5</v>
      </c>
      <c r="C31" s="14"/>
      <c r="D31" s="44">
        <v>0.12220034212515478</v>
      </c>
      <c r="E31" s="6">
        <f>VLOOKUP(B31,'[1]Atlas Brasil'!$B$3:$C$248,2,0)</f>
        <v>0.77500000000000002</v>
      </c>
      <c r="F31" s="23" t="s">
        <v>296</v>
      </c>
      <c r="G31" s="6">
        <v>13981</v>
      </c>
      <c r="H31" s="8">
        <v>22670.01</v>
      </c>
      <c r="I31" s="9">
        <v>2.5871002306016296E-2</v>
      </c>
      <c r="J31" s="6">
        <v>6.95</v>
      </c>
      <c r="K31" s="9">
        <v>0.03</v>
      </c>
      <c r="L31" s="6">
        <v>19790</v>
      </c>
      <c r="M31" s="6">
        <v>932</v>
      </c>
      <c r="N31" s="24">
        <v>0</v>
      </c>
      <c r="O31" s="51">
        <v>0</v>
      </c>
    </row>
    <row r="32" spans="1:15" ht="16.5" customHeight="1" x14ac:dyDescent="0.25">
      <c r="A32" s="50"/>
      <c r="B32" s="6" t="s">
        <v>44</v>
      </c>
      <c r="C32" s="7"/>
      <c r="D32" s="43">
        <v>0.17924763328350815</v>
      </c>
      <c r="E32" s="6">
        <f>VLOOKUP(B32,'[1]Atlas Brasil'!$B$3:$C$248,2,0)</f>
        <v>0.69699999999999995</v>
      </c>
      <c r="F32" s="23" t="s">
        <v>285</v>
      </c>
      <c r="G32" s="6">
        <v>1862</v>
      </c>
      <c r="H32" s="8">
        <v>12583.33</v>
      </c>
      <c r="I32" s="9">
        <v>1.9023961148048483E-3</v>
      </c>
      <c r="J32" s="10">
        <v>11.91</v>
      </c>
      <c r="K32" s="9">
        <v>0</v>
      </c>
      <c r="L32" s="6">
        <v>2182</v>
      </c>
      <c r="M32" s="6">
        <v>565</v>
      </c>
      <c r="N32" s="24">
        <v>0</v>
      </c>
      <c r="O32" s="51">
        <v>0</v>
      </c>
    </row>
    <row r="33" spans="1:15" ht="15.75" customHeight="1" x14ac:dyDescent="0.25">
      <c r="A33" s="50"/>
      <c r="B33" s="6" t="s">
        <v>6</v>
      </c>
      <c r="C33" s="14"/>
      <c r="D33" s="44">
        <v>0.14694264069263654</v>
      </c>
      <c r="E33" s="6">
        <f>VLOOKUP(B33,'[1]Atlas Brasil'!$B$3:$C$248,2,0)</f>
        <v>0.72699999999999998</v>
      </c>
      <c r="F33" s="23" t="s">
        <v>297</v>
      </c>
      <c r="G33" s="6">
        <v>39689</v>
      </c>
      <c r="H33" s="13">
        <v>18620.349999999999</v>
      </c>
      <c r="I33" s="9">
        <v>6.4276138563176377E-2</v>
      </c>
      <c r="J33" s="6">
        <v>9.08</v>
      </c>
      <c r="K33" s="9">
        <v>0.1</v>
      </c>
      <c r="L33" s="6">
        <v>55660</v>
      </c>
      <c r="M33" s="6">
        <v>3889</v>
      </c>
      <c r="N33" s="24">
        <v>0</v>
      </c>
      <c r="O33" s="51">
        <v>0</v>
      </c>
    </row>
    <row r="34" spans="1:15" ht="16.5" customHeight="1" x14ac:dyDescent="0.25">
      <c r="A34" s="50"/>
      <c r="B34" s="6" t="s">
        <v>45</v>
      </c>
      <c r="C34" s="7"/>
      <c r="D34" s="43">
        <v>0.183729326811088</v>
      </c>
      <c r="E34" s="6">
        <f>VLOOKUP(B34,'[1]Atlas Brasil'!$B$3:$C$248,2,0)</f>
        <v>0.65200000000000002</v>
      </c>
      <c r="F34" s="23" t="s">
        <v>298</v>
      </c>
      <c r="G34" s="6">
        <v>1464</v>
      </c>
      <c r="H34" s="8">
        <v>21831.78</v>
      </c>
      <c r="I34" s="9">
        <v>0.24</v>
      </c>
      <c r="J34" s="10">
        <v>12.83</v>
      </c>
      <c r="K34" s="9">
        <v>0</v>
      </c>
      <c r="L34" s="6">
        <v>1131</v>
      </c>
      <c r="M34" s="6">
        <v>1168</v>
      </c>
      <c r="N34" s="24">
        <v>0</v>
      </c>
      <c r="O34" s="51">
        <v>0</v>
      </c>
    </row>
    <row r="35" spans="1:15" ht="16.5" customHeight="1" x14ac:dyDescent="0.25">
      <c r="A35" s="50"/>
      <c r="B35" s="6" t="s">
        <v>46</v>
      </c>
      <c r="C35" s="7"/>
      <c r="D35" s="44">
        <v>0.15975671449595344</v>
      </c>
      <c r="E35" s="6">
        <f>VLOOKUP(B35,'[1]Atlas Brasil'!$B$3:$C$248,2,0)</f>
        <v>0.67700000000000005</v>
      </c>
      <c r="F35" s="23" t="s">
        <v>299</v>
      </c>
      <c r="G35" s="6">
        <v>2583</v>
      </c>
      <c r="H35" s="8">
        <v>14155.5</v>
      </c>
      <c r="I35" s="9">
        <v>0.28999999999999998</v>
      </c>
      <c r="J35" s="10">
        <v>10.17</v>
      </c>
      <c r="K35" s="9">
        <v>0.01</v>
      </c>
      <c r="L35" s="6">
        <v>2980</v>
      </c>
      <c r="M35" s="6">
        <v>1049</v>
      </c>
      <c r="N35" s="24">
        <v>0</v>
      </c>
      <c r="O35" s="51">
        <v>0</v>
      </c>
    </row>
    <row r="36" spans="1:15" x14ac:dyDescent="0.25">
      <c r="A36" s="50"/>
      <c r="B36" s="6" t="s">
        <v>47</v>
      </c>
      <c r="C36" s="7"/>
      <c r="D36" s="43">
        <v>0.16474470554105058</v>
      </c>
      <c r="E36" s="6">
        <f>VLOOKUP(B36,'[1]Atlas Brasil'!$B$3:$C$248,2,0)</f>
        <v>0.69599999999999995</v>
      </c>
      <c r="F36" s="23" t="s">
        <v>300</v>
      </c>
      <c r="G36" s="6">
        <v>1809</v>
      </c>
      <c r="H36" s="8">
        <v>18284.61</v>
      </c>
      <c r="I36" s="9">
        <v>0.28000000000000003</v>
      </c>
      <c r="J36" s="10">
        <v>11.43</v>
      </c>
      <c r="K36" s="9">
        <v>0</v>
      </c>
      <c r="L36" s="6">
        <v>1272</v>
      </c>
      <c r="M36" s="6">
        <v>1572</v>
      </c>
      <c r="N36" s="24">
        <v>0</v>
      </c>
      <c r="O36" s="51">
        <v>0</v>
      </c>
    </row>
    <row r="37" spans="1:15" ht="15.75" customHeight="1" x14ac:dyDescent="0.25">
      <c r="A37" s="50"/>
      <c r="B37" s="6" t="s">
        <v>7</v>
      </c>
      <c r="C37" s="14"/>
      <c r="D37" s="43">
        <v>0.17829149836507205</v>
      </c>
      <c r="E37" s="6">
        <f>VLOOKUP(B37,'[1]Atlas Brasil'!$B$3:$C$248,2,0)</f>
        <v>0.69899999999999995</v>
      </c>
      <c r="F37" s="23" t="s">
        <v>291</v>
      </c>
      <c r="G37" s="6">
        <v>27456</v>
      </c>
      <c r="H37" s="8">
        <v>13390.27</v>
      </c>
      <c r="I37" s="9">
        <v>1.68</v>
      </c>
      <c r="J37" s="6">
        <v>8.77</v>
      </c>
      <c r="K37" s="9">
        <v>0.03</v>
      </c>
      <c r="L37" s="6">
        <v>35328</v>
      </c>
      <c r="M37" s="6">
        <v>6542</v>
      </c>
      <c r="N37" s="7" t="s">
        <v>251</v>
      </c>
      <c r="O37" s="51">
        <v>0</v>
      </c>
    </row>
    <row r="38" spans="1:15" ht="16.5" customHeight="1" x14ac:dyDescent="0.25">
      <c r="A38" s="50"/>
      <c r="B38" s="6" t="s">
        <v>48</v>
      </c>
      <c r="C38" s="7"/>
      <c r="D38" s="44">
        <v>0.14272391311927018</v>
      </c>
      <c r="E38" s="6">
        <f>VLOOKUP(B38,'[1]Atlas Brasil'!$B$3:$C$248,2,0)</f>
        <v>0.72499999999999998</v>
      </c>
      <c r="F38" s="23" t="s">
        <v>301</v>
      </c>
      <c r="G38" s="6">
        <v>12054</v>
      </c>
      <c r="H38" s="8">
        <v>15213.5</v>
      </c>
      <c r="I38" s="9">
        <v>3.3</v>
      </c>
      <c r="J38" s="10">
        <v>14.98</v>
      </c>
      <c r="K38" s="9">
        <v>7.0000000000000007E-2</v>
      </c>
      <c r="L38" s="6">
        <v>16675</v>
      </c>
      <c r="M38" s="6">
        <v>1783</v>
      </c>
      <c r="N38" s="24">
        <v>0</v>
      </c>
      <c r="O38" s="51">
        <v>0</v>
      </c>
    </row>
    <row r="39" spans="1:15" ht="16.5" customHeight="1" x14ac:dyDescent="0.25">
      <c r="A39" s="50"/>
      <c r="B39" s="6" t="s">
        <v>49</v>
      </c>
      <c r="C39" s="7"/>
      <c r="D39" s="43">
        <v>0.17336065573770498</v>
      </c>
      <c r="E39" s="6">
        <f>VLOOKUP(B39,'[1]Atlas Brasil'!$B$3:$C$248,2,0)</f>
        <v>0.64900000000000002</v>
      </c>
      <c r="F39" s="23" t="s">
        <v>302</v>
      </c>
      <c r="G39" s="6">
        <v>1444</v>
      </c>
      <c r="H39" s="8">
        <v>10585.94</v>
      </c>
      <c r="I39" s="9">
        <v>0.13</v>
      </c>
      <c r="J39" s="10">
        <v>14.09</v>
      </c>
      <c r="K39" s="9">
        <v>0</v>
      </c>
      <c r="L39" s="6">
        <v>1834</v>
      </c>
      <c r="M39" s="6">
        <v>466</v>
      </c>
      <c r="N39" s="24">
        <v>0</v>
      </c>
      <c r="O39" s="51">
        <v>0</v>
      </c>
    </row>
    <row r="40" spans="1:15" x14ac:dyDescent="0.25">
      <c r="A40" s="50"/>
      <c r="B40" s="6" t="s">
        <v>50</v>
      </c>
      <c r="C40" s="7"/>
      <c r="D40" s="44">
        <v>0.15233964248159859</v>
      </c>
      <c r="E40" s="6">
        <f>VLOOKUP(B40,'[1]Atlas Brasil'!$B$3:$C$248,2,0)</f>
        <v>0.69499999999999995</v>
      </c>
      <c r="F40" s="23" t="s">
        <v>303</v>
      </c>
      <c r="G40" s="6">
        <v>1499</v>
      </c>
      <c r="H40" s="8">
        <v>15196.89</v>
      </c>
      <c r="I40" s="9">
        <v>0.19</v>
      </c>
      <c r="J40" s="10">
        <v>12.23</v>
      </c>
      <c r="K40" s="9">
        <v>0</v>
      </c>
      <c r="L40" s="6">
        <v>1649</v>
      </c>
      <c r="M40" s="6">
        <v>707</v>
      </c>
      <c r="N40" s="24">
        <v>0</v>
      </c>
      <c r="O40" s="51">
        <v>0</v>
      </c>
    </row>
    <row r="41" spans="1:15" ht="16.5" customHeight="1" x14ac:dyDescent="0.25">
      <c r="A41" s="50"/>
      <c r="B41" s="6" t="s">
        <v>51</v>
      </c>
      <c r="C41" s="7"/>
      <c r="D41" s="44">
        <v>0.11616941015089181</v>
      </c>
      <c r="E41" s="6">
        <f>VLOOKUP(B41,'[1]Atlas Brasil'!$B$3:$C$248,2,0)</f>
        <v>0.67800000000000005</v>
      </c>
      <c r="F41" s="23" t="s">
        <v>304</v>
      </c>
      <c r="G41" s="6">
        <v>1430</v>
      </c>
      <c r="H41" s="8">
        <v>15139.76</v>
      </c>
      <c r="I41" s="9">
        <v>0.19</v>
      </c>
      <c r="J41" s="10">
        <v>14.85</v>
      </c>
      <c r="K41" s="9">
        <v>0</v>
      </c>
      <c r="L41" s="6">
        <v>1647</v>
      </c>
      <c r="M41" s="6">
        <v>612</v>
      </c>
      <c r="N41" s="24">
        <v>0</v>
      </c>
      <c r="O41" s="51">
        <v>0</v>
      </c>
    </row>
    <row r="42" spans="1:15" ht="16.5" customHeight="1" x14ac:dyDescent="0.25">
      <c r="A42" s="50"/>
      <c r="B42" s="6" t="s">
        <v>52</v>
      </c>
      <c r="C42" s="7"/>
      <c r="D42" s="43">
        <v>0.18349096056102407</v>
      </c>
      <c r="E42" s="6">
        <f>VLOOKUP(B42,'[1]Atlas Brasil'!$B$3:$C$248,2,0)</f>
        <v>0.68100000000000005</v>
      </c>
      <c r="F42" s="23" t="s">
        <v>305</v>
      </c>
      <c r="G42" s="6">
        <v>5308</v>
      </c>
      <c r="H42" s="8">
        <v>14062.55</v>
      </c>
      <c r="I42" s="9">
        <v>0.62</v>
      </c>
      <c r="J42" s="10">
        <v>14.05</v>
      </c>
      <c r="K42" s="9">
        <v>0.01</v>
      </c>
      <c r="L42" s="6">
        <v>5730</v>
      </c>
      <c r="M42" s="6">
        <v>2778</v>
      </c>
      <c r="N42" s="24">
        <v>0</v>
      </c>
      <c r="O42" s="51">
        <v>0</v>
      </c>
    </row>
    <row r="43" spans="1:15" x14ac:dyDescent="0.25">
      <c r="A43" s="50"/>
      <c r="B43" s="6" t="s">
        <v>53</v>
      </c>
      <c r="C43" s="7"/>
      <c r="D43" s="43">
        <v>0.17023227383863093</v>
      </c>
      <c r="E43" s="6">
        <f>VLOOKUP(B43,'[1]Atlas Brasil'!$B$3:$C$248,2,0)</f>
        <v>0.71899999999999997</v>
      </c>
      <c r="F43" s="23" t="s">
        <v>306</v>
      </c>
      <c r="G43" s="6">
        <v>2669</v>
      </c>
      <c r="H43" s="8">
        <v>21971.96</v>
      </c>
      <c r="I43" s="9">
        <v>0.45</v>
      </c>
      <c r="J43" s="10">
        <v>10.81</v>
      </c>
      <c r="K43" s="9">
        <v>0.01</v>
      </c>
      <c r="L43" s="6">
        <v>2683</v>
      </c>
      <c r="M43" s="6">
        <v>1351</v>
      </c>
      <c r="N43" s="24">
        <v>0</v>
      </c>
      <c r="O43" s="51">
        <v>0</v>
      </c>
    </row>
    <row r="44" spans="1:15" x14ac:dyDescent="0.25">
      <c r="A44" s="50"/>
      <c r="B44" s="6" t="s">
        <v>54</v>
      </c>
      <c r="C44" s="7"/>
      <c r="D44" s="43">
        <v>0.15906326034063276</v>
      </c>
      <c r="E44" s="6">
        <f>VLOOKUP(B44,'[1]Atlas Brasil'!$B$3:$C$248,2,0)</f>
        <v>0.71199999999999997</v>
      </c>
      <c r="F44" s="23" t="s">
        <v>307</v>
      </c>
      <c r="G44" s="6">
        <v>6921</v>
      </c>
      <c r="H44" s="8">
        <v>12732.88</v>
      </c>
      <c r="I44" s="9">
        <v>0.7</v>
      </c>
      <c r="J44" s="10">
        <v>9.23</v>
      </c>
      <c r="K44" s="9">
        <v>0.01</v>
      </c>
      <c r="L44" s="6">
        <v>6683</v>
      </c>
      <c r="M44" s="6">
        <v>3600</v>
      </c>
      <c r="N44" s="24">
        <v>0</v>
      </c>
      <c r="O44" s="51">
        <v>0</v>
      </c>
    </row>
    <row r="45" spans="1:15" ht="16.5" customHeight="1" x14ac:dyDescent="0.25">
      <c r="A45" s="50"/>
      <c r="B45" s="6" t="s">
        <v>55</v>
      </c>
      <c r="C45" s="7"/>
      <c r="D45" s="43">
        <v>0.1719835069444445</v>
      </c>
      <c r="E45" s="6">
        <f>VLOOKUP(B45,'[1]Atlas Brasil'!$B$3:$C$248,2,0)</f>
        <v>0.68400000000000005</v>
      </c>
      <c r="F45" s="23" t="s">
        <v>278</v>
      </c>
      <c r="G45" s="6">
        <v>1819</v>
      </c>
      <c r="H45" s="8">
        <v>60385.05</v>
      </c>
      <c r="I45" s="9">
        <v>0.8</v>
      </c>
      <c r="J45" s="10">
        <v>11.29</v>
      </c>
      <c r="K45" s="9">
        <v>0</v>
      </c>
      <c r="L45" s="6">
        <v>1201</v>
      </c>
      <c r="M45" s="6">
        <v>1572</v>
      </c>
      <c r="N45" s="24">
        <v>0</v>
      </c>
      <c r="O45" s="51">
        <v>0</v>
      </c>
    </row>
    <row r="46" spans="1:15" ht="16.5" customHeight="1" x14ac:dyDescent="0.25">
      <c r="A46" s="50"/>
      <c r="B46" s="6" t="s">
        <v>56</v>
      </c>
      <c r="C46" s="7"/>
      <c r="D46" s="44">
        <v>0.1294595735697695</v>
      </c>
      <c r="E46" s="6">
        <f>VLOOKUP(B46,'[1]Atlas Brasil'!$B$3:$C$248,2,0)</f>
        <v>0.72699999999999998</v>
      </c>
      <c r="F46" s="23" t="s">
        <v>297</v>
      </c>
      <c r="G46" s="6">
        <v>7025</v>
      </c>
      <c r="H46" s="8">
        <v>17329.59</v>
      </c>
      <c r="I46" s="9">
        <v>0.99</v>
      </c>
      <c r="J46" s="10">
        <v>7.51</v>
      </c>
      <c r="K46" s="9">
        <v>0.02</v>
      </c>
      <c r="L46" s="6">
        <v>9798</v>
      </c>
      <c r="M46" s="6">
        <v>725</v>
      </c>
      <c r="N46" s="24">
        <v>0</v>
      </c>
      <c r="O46" s="51">
        <v>0</v>
      </c>
    </row>
    <row r="47" spans="1:15" ht="16.5" customHeight="1" x14ac:dyDescent="0.25">
      <c r="A47" s="50"/>
      <c r="B47" s="6" t="s">
        <v>57</v>
      </c>
      <c r="C47" s="7"/>
      <c r="D47" s="43">
        <v>0.17126179831097899</v>
      </c>
      <c r="E47" s="6">
        <f>VLOOKUP(B47,'[1]Atlas Brasil'!$B$3:$C$248,2,0)</f>
        <v>0.69299999999999995</v>
      </c>
      <c r="F47" s="23" t="s">
        <v>308</v>
      </c>
      <c r="G47" s="6">
        <v>2868</v>
      </c>
      <c r="H47" s="8">
        <v>18824.72</v>
      </c>
      <c r="I47" s="9">
        <v>0.47</v>
      </c>
      <c r="J47" s="10">
        <v>13.9</v>
      </c>
      <c r="K47" s="9">
        <v>0.01</v>
      </c>
      <c r="L47" s="6">
        <v>4081</v>
      </c>
      <c r="M47" s="6">
        <v>485</v>
      </c>
      <c r="N47" s="24">
        <v>0</v>
      </c>
      <c r="O47" s="51">
        <v>0</v>
      </c>
    </row>
    <row r="48" spans="1:15" ht="16.5" customHeight="1" x14ac:dyDescent="0.25">
      <c r="A48" s="50"/>
      <c r="B48" s="6" t="s">
        <v>58</v>
      </c>
      <c r="C48" s="7"/>
      <c r="D48" s="44">
        <v>0.12264587264587258</v>
      </c>
      <c r="E48" s="6">
        <f>VLOOKUP(B48,'[1]Atlas Brasil'!$B$3:$C$248,2,0)</f>
        <v>0.71899999999999997</v>
      </c>
      <c r="F48" s="23" t="s">
        <v>306</v>
      </c>
      <c r="G48" s="6">
        <v>12285</v>
      </c>
      <c r="H48" s="8">
        <v>20751.849999999999</v>
      </c>
      <c r="I48" s="9">
        <v>2.14</v>
      </c>
      <c r="J48" s="10">
        <v>9.0399999999999991</v>
      </c>
      <c r="K48" s="9">
        <v>0.03</v>
      </c>
      <c r="L48" s="6">
        <v>16184</v>
      </c>
      <c r="M48" s="6">
        <v>2731</v>
      </c>
      <c r="N48" s="24">
        <v>0</v>
      </c>
      <c r="O48" s="51">
        <v>0</v>
      </c>
    </row>
    <row r="49" spans="1:15" ht="16.5" customHeight="1" x14ac:dyDescent="0.25">
      <c r="A49" s="50"/>
      <c r="B49" s="6" t="s">
        <v>59</v>
      </c>
      <c r="C49" s="7"/>
      <c r="D49" s="43">
        <v>0.16681149345382879</v>
      </c>
      <c r="E49" s="6">
        <f>VLOOKUP(B49,'[1]Atlas Brasil'!$B$3:$C$248,2,0)</f>
        <v>0.68300000000000005</v>
      </c>
      <c r="F49" s="23" t="s">
        <v>280</v>
      </c>
      <c r="G49" s="6">
        <v>2397</v>
      </c>
      <c r="H49" s="8">
        <v>19788.97</v>
      </c>
      <c r="I49" s="9">
        <v>0.39</v>
      </c>
      <c r="J49" s="10">
        <v>12.89</v>
      </c>
      <c r="K49" s="9">
        <v>0.01</v>
      </c>
      <c r="L49" s="6">
        <v>1367</v>
      </c>
      <c r="M49" s="6">
        <v>2319</v>
      </c>
      <c r="N49" s="24">
        <v>0</v>
      </c>
      <c r="O49" s="51">
        <v>0</v>
      </c>
    </row>
    <row r="50" spans="1:15" x14ac:dyDescent="0.25">
      <c r="A50" s="50"/>
      <c r="B50" s="6" t="s">
        <v>60</v>
      </c>
      <c r="C50" s="7"/>
      <c r="D50" s="43">
        <v>0.1708494208494209</v>
      </c>
      <c r="E50" s="6">
        <f>VLOOKUP(B50,'[1]Atlas Brasil'!$B$3:$C$248,2,0)</f>
        <v>0.63400000000000001</v>
      </c>
      <c r="F50" s="23" t="s">
        <v>309</v>
      </c>
      <c r="G50" s="6">
        <v>2094</v>
      </c>
      <c r="H50" s="8">
        <v>20572.349999999999</v>
      </c>
      <c r="I50" s="9">
        <v>0.36</v>
      </c>
      <c r="J50" s="10">
        <v>21.21</v>
      </c>
      <c r="K50" s="9">
        <v>0</v>
      </c>
      <c r="L50" s="6">
        <v>1113</v>
      </c>
      <c r="M50" s="6">
        <v>2060</v>
      </c>
      <c r="N50" s="24">
        <v>0</v>
      </c>
      <c r="O50" s="51">
        <v>0</v>
      </c>
    </row>
    <row r="51" spans="1:15" x14ac:dyDescent="0.25">
      <c r="A51" s="50"/>
      <c r="B51" s="6" t="s">
        <v>61</v>
      </c>
      <c r="C51" s="7"/>
      <c r="D51" s="43">
        <v>0.19613821138211393</v>
      </c>
      <c r="E51" s="6">
        <f>VLOOKUP(B51,'[1]Atlas Brasil'!$B$3:$C$248,2,0)</f>
        <v>0.70099999999999996</v>
      </c>
      <c r="F51" s="23" t="s">
        <v>290</v>
      </c>
      <c r="G51" s="6">
        <v>1917</v>
      </c>
      <c r="H51" s="8">
        <v>15965.78</v>
      </c>
      <c r="I51" s="9">
        <v>0.22</v>
      </c>
      <c r="J51" s="10">
        <v>13.87</v>
      </c>
      <c r="K51" s="9">
        <v>0</v>
      </c>
      <c r="L51" s="6">
        <v>2177</v>
      </c>
      <c r="M51" s="6">
        <v>732</v>
      </c>
      <c r="N51" s="24">
        <v>0</v>
      </c>
      <c r="O51" s="51">
        <v>0</v>
      </c>
    </row>
    <row r="52" spans="1:15" x14ac:dyDescent="0.25">
      <c r="A52" s="50"/>
      <c r="B52" s="6" t="s">
        <v>62</v>
      </c>
      <c r="C52" s="7"/>
      <c r="D52" s="43">
        <v>0.18229986360297912</v>
      </c>
      <c r="E52" s="6">
        <f>VLOOKUP(B52,'[1]Atlas Brasil'!$B$3:$C$248,2,0)</f>
        <v>0.65100000000000002</v>
      </c>
      <c r="F52" s="23" t="s">
        <v>310</v>
      </c>
      <c r="G52" s="6">
        <v>3865</v>
      </c>
      <c r="H52" s="11">
        <v>14625.31</v>
      </c>
      <c r="I52" s="9">
        <v>0.48</v>
      </c>
      <c r="J52" s="10">
        <v>13.67</v>
      </c>
      <c r="K52" s="9">
        <v>0.01</v>
      </c>
      <c r="L52" s="6">
        <v>4464</v>
      </c>
      <c r="M52" s="6">
        <v>1656</v>
      </c>
      <c r="N52" s="24">
        <v>0</v>
      </c>
      <c r="O52" s="51">
        <v>0</v>
      </c>
    </row>
    <row r="53" spans="1:15" x14ac:dyDescent="0.25">
      <c r="A53" s="50"/>
      <c r="B53" s="6" t="s">
        <v>273</v>
      </c>
      <c r="C53" s="7"/>
      <c r="D53" s="43">
        <v>0.16143617021276593</v>
      </c>
      <c r="E53" s="6">
        <f>VLOOKUP(B53,'[1]Atlas Brasil'!$B$3:$C$248,2,0)</f>
        <v>0.66900000000000004</v>
      </c>
      <c r="F53" s="23" t="s">
        <v>311</v>
      </c>
      <c r="G53" s="6">
        <v>2968</v>
      </c>
      <c r="H53" s="11">
        <v>18096.490000000002</v>
      </c>
      <c r="I53" s="9">
        <v>0.47</v>
      </c>
      <c r="J53" s="10">
        <v>14.99</v>
      </c>
      <c r="K53" s="9">
        <v>0.01</v>
      </c>
      <c r="L53" s="6">
        <v>3908</v>
      </c>
      <c r="M53" s="6">
        <v>709</v>
      </c>
      <c r="N53" s="24">
        <v>0</v>
      </c>
      <c r="O53" s="51">
        <v>0</v>
      </c>
    </row>
    <row r="54" spans="1:15" ht="16.5" customHeight="1" x14ac:dyDescent="0.25">
      <c r="A54" s="50"/>
      <c r="B54" s="6" t="s">
        <v>63</v>
      </c>
      <c r="C54" s="7"/>
      <c r="D54" s="44">
        <v>0.13863168724279831</v>
      </c>
      <c r="E54" s="6">
        <f>VLOOKUP(B54,'[1]Atlas Brasil'!$B$3:$C$248,2,0)</f>
        <v>0.69299999999999995</v>
      </c>
      <c r="F54" s="23" t="s">
        <v>308</v>
      </c>
      <c r="G54" s="6">
        <v>1286</v>
      </c>
      <c r="H54" s="8">
        <v>17277.84</v>
      </c>
      <c r="I54" s="9">
        <v>0.18</v>
      </c>
      <c r="J54" s="10">
        <v>10.92</v>
      </c>
      <c r="K54" s="9">
        <v>0</v>
      </c>
      <c r="L54" s="6">
        <v>1171</v>
      </c>
      <c r="M54" s="6">
        <v>820</v>
      </c>
      <c r="N54" s="24">
        <v>0</v>
      </c>
      <c r="O54" s="51">
        <v>0</v>
      </c>
    </row>
    <row r="55" spans="1:15" x14ac:dyDescent="0.25">
      <c r="A55" s="50"/>
      <c r="B55" s="6" t="s">
        <v>64</v>
      </c>
      <c r="C55" s="7"/>
      <c r="D55" s="6">
        <v>0.16500000000000001</v>
      </c>
      <c r="E55" s="6">
        <f>VLOOKUP(B55,'[1]Atlas Brasil'!$B$3:$C$248,2,0)</f>
        <v>0.71599999999999997</v>
      </c>
      <c r="F55" s="23" t="s">
        <v>279</v>
      </c>
      <c r="G55" s="6">
        <v>2414</v>
      </c>
      <c r="H55" s="8">
        <v>15609.85</v>
      </c>
      <c r="I55" s="9">
        <v>0.28999999999999998</v>
      </c>
      <c r="J55" s="10">
        <v>10.53</v>
      </c>
      <c r="K55" s="9">
        <v>0</v>
      </c>
      <c r="L55" s="6">
        <v>2881</v>
      </c>
      <c r="M55" s="6">
        <v>660</v>
      </c>
      <c r="N55" s="7" t="s">
        <v>251</v>
      </c>
      <c r="O55" s="51">
        <v>0</v>
      </c>
    </row>
    <row r="56" spans="1:15" ht="15.75" customHeight="1" x14ac:dyDescent="0.25">
      <c r="A56" s="50"/>
      <c r="B56" s="6" t="s">
        <v>8</v>
      </c>
      <c r="C56" s="14"/>
      <c r="D56" s="43">
        <v>0.17716329013044754</v>
      </c>
      <c r="E56" s="6">
        <f>VLOOKUP(B56,'[1]Atlas Brasil'!$B$3:$C$248,2,0)</f>
        <v>0.70299999999999996</v>
      </c>
      <c r="F56" s="23" t="s">
        <v>282</v>
      </c>
      <c r="G56" s="6">
        <v>9064</v>
      </c>
      <c r="H56" s="8">
        <v>14343.91</v>
      </c>
      <c r="I56" s="9">
        <v>1.05</v>
      </c>
      <c r="J56" s="6">
        <v>11.67</v>
      </c>
      <c r="K56" s="9">
        <v>0.02</v>
      </c>
      <c r="L56" s="6">
        <v>11232</v>
      </c>
      <c r="M56" s="6">
        <v>2594</v>
      </c>
      <c r="N56" s="7" t="s">
        <v>259</v>
      </c>
      <c r="O56" s="51">
        <v>0</v>
      </c>
    </row>
    <row r="57" spans="1:15" ht="16.5" customHeight="1" x14ac:dyDescent="0.25">
      <c r="A57" s="50"/>
      <c r="B57" s="6" t="s">
        <v>65</v>
      </c>
      <c r="C57" s="7"/>
      <c r="D57" s="43">
        <v>0.19936677550212734</v>
      </c>
      <c r="E57" s="6">
        <f>VLOOKUP(B57,'[1]Atlas Brasil'!$B$3:$C$248,2,0)</f>
        <v>0.63400000000000001</v>
      </c>
      <c r="F57" s="23" t="s">
        <v>309</v>
      </c>
      <c r="G57" s="6">
        <v>3200</v>
      </c>
      <c r="H57" s="8">
        <v>37431.129999999997</v>
      </c>
      <c r="I57" s="9">
        <v>1.0900000000000001</v>
      </c>
      <c r="J57" s="10">
        <v>17.55</v>
      </c>
      <c r="K57" s="9">
        <v>0.01</v>
      </c>
      <c r="L57" s="6">
        <v>1504</v>
      </c>
      <c r="M57" s="6">
        <v>3641</v>
      </c>
      <c r="N57" s="24">
        <v>0</v>
      </c>
      <c r="O57" s="51">
        <v>0</v>
      </c>
    </row>
    <row r="58" spans="1:15" s="15" customFormat="1" x14ac:dyDescent="0.25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2"/>
    </row>
    <row r="59" spans="1:15" ht="16.5" customHeight="1" x14ac:dyDescent="0.25">
      <c r="A59" s="52" t="s">
        <v>410</v>
      </c>
      <c r="B59" s="19" t="s">
        <v>221</v>
      </c>
      <c r="C59" s="21"/>
      <c r="D59" s="40">
        <v>0.14863847837985741</v>
      </c>
      <c r="E59" s="19">
        <v>0.71899999999999997</v>
      </c>
      <c r="F59" s="16" t="s">
        <v>306</v>
      </c>
      <c r="G59" s="19">
        <v>3017</v>
      </c>
      <c r="H59" s="25">
        <v>69673.86</v>
      </c>
      <c r="I59" s="26">
        <v>0.05</v>
      </c>
      <c r="J59" s="27">
        <v>11.4</v>
      </c>
      <c r="K59" s="26">
        <v>0.02</v>
      </c>
      <c r="L59" s="19">
        <v>3863</v>
      </c>
      <c r="M59" s="19">
        <v>642</v>
      </c>
      <c r="N59" s="21" t="s">
        <v>250</v>
      </c>
      <c r="O59" s="48">
        <v>0</v>
      </c>
    </row>
    <row r="60" spans="1:15" ht="16.5" customHeight="1" x14ac:dyDescent="0.25">
      <c r="A60" s="52"/>
      <c r="B60" s="19" t="s">
        <v>222</v>
      </c>
      <c r="C60" s="21"/>
      <c r="D60" s="39">
        <v>0.23883194128068855</v>
      </c>
      <c r="E60" s="19">
        <v>0.60899999999999999</v>
      </c>
      <c r="F60" s="16" t="s">
        <v>312</v>
      </c>
      <c r="G60" s="19">
        <v>2236</v>
      </c>
      <c r="H60" s="25">
        <v>13710.48</v>
      </c>
      <c r="I60" s="26">
        <v>7.0000000000000001E-3</v>
      </c>
      <c r="J60" s="27">
        <v>14.41</v>
      </c>
      <c r="K60" s="26">
        <v>0.01</v>
      </c>
      <c r="L60" s="19">
        <v>1101</v>
      </c>
      <c r="M60" s="19">
        <v>2333</v>
      </c>
      <c r="N60" s="22">
        <v>0</v>
      </c>
      <c r="O60" s="48">
        <v>0</v>
      </c>
    </row>
    <row r="61" spans="1:15" ht="16.5" customHeight="1" x14ac:dyDescent="0.25">
      <c r="A61" s="52"/>
      <c r="B61" s="19" t="s">
        <v>223</v>
      </c>
      <c r="C61" s="21"/>
      <c r="D61" s="39">
        <v>0.19834710743801695</v>
      </c>
      <c r="E61" s="19">
        <v>0.63</v>
      </c>
      <c r="F61" s="16" t="s">
        <v>313</v>
      </c>
      <c r="G61" s="19">
        <v>2217</v>
      </c>
      <c r="H61" s="25">
        <v>22457.55</v>
      </c>
      <c r="I61" s="26">
        <v>1.2999999999999999E-2</v>
      </c>
      <c r="J61" s="27">
        <v>9.6300000000000008</v>
      </c>
      <c r="K61" s="26">
        <v>0.01</v>
      </c>
      <c r="L61" s="19">
        <v>1301</v>
      </c>
      <c r="M61" s="19">
        <v>2202</v>
      </c>
      <c r="N61" s="22">
        <v>0</v>
      </c>
      <c r="O61" s="48">
        <v>0</v>
      </c>
    </row>
    <row r="62" spans="1:15" ht="16.5" customHeight="1" x14ac:dyDescent="0.25">
      <c r="A62" s="52"/>
      <c r="B62" s="19" t="s">
        <v>224</v>
      </c>
      <c r="C62" s="21"/>
      <c r="D62" s="39">
        <v>0.21176900584795338</v>
      </c>
      <c r="E62" s="19">
        <v>0.63100000000000001</v>
      </c>
      <c r="F62" s="16" t="s">
        <v>314</v>
      </c>
      <c r="G62" s="19">
        <v>2327</v>
      </c>
      <c r="H62" s="25">
        <v>13341.5</v>
      </c>
      <c r="I62" s="26">
        <v>7.0000000000000001E-3</v>
      </c>
      <c r="J62" s="27">
        <v>12.08</v>
      </c>
      <c r="K62" s="26">
        <v>0.01</v>
      </c>
      <c r="L62" s="19">
        <v>2173</v>
      </c>
      <c r="M62" s="19">
        <v>1483</v>
      </c>
      <c r="N62" s="21" t="s">
        <v>249</v>
      </c>
      <c r="O62" s="48">
        <v>0</v>
      </c>
    </row>
    <row r="63" spans="1:15" ht="16.5" customHeight="1" x14ac:dyDescent="0.25">
      <c r="A63" s="52"/>
      <c r="B63" s="19" t="s">
        <v>225</v>
      </c>
      <c r="C63" s="21"/>
      <c r="D63" s="39">
        <v>0.17049900841507268</v>
      </c>
      <c r="E63" s="19">
        <v>0.68799999999999994</v>
      </c>
      <c r="F63" s="16" t="s">
        <v>315</v>
      </c>
      <c r="G63" s="19">
        <v>7249</v>
      </c>
      <c r="H63" s="25">
        <v>15917.97</v>
      </c>
      <c r="I63" s="26">
        <v>0.02</v>
      </c>
      <c r="J63" s="27">
        <v>10.71</v>
      </c>
      <c r="K63" s="26">
        <v>0.04</v>
      </c>
      <c r="L63" s="19">
        <v>8995</v>
      </c>
      <c r="M63" s="19">
        <v>2116</v>
      </c>
      <c r="N63" s="22">
        <v>0</v>
      </c>
      <c r="O63" s="48">
        <v>0</v>
      </c>
    </row>
    <row r="64" spans="1:15" x14ac:dyDescent="0.25">
      <c r="A64" s="52"/>
      <c r="B64" s="19" t="s">
        <v>226</v>
      </c>
      <c r="C64" s="21"/>
      <c r="D64" s="39">
        <v>0.21170442286947239</v>
      </c>
      <c r="E64" s="19">
        <v>0.65400000000000003</v>
      </c>
      <c r="F64" s="16" t="s">
        <v>316</v>
      </c>
      <c r="G64" s="19">
        <v>3246</v>
      </c>
      <c r="H64" s="25">
        <v>11984.88</v>
      </c>
      <c r="I64" s="26">
        <v>6.0000000000000001E-3</v>
      </c>
      <c r="J64" s="27">
        <v>17.420000000000002</v>
      </c>
      <c r="K64" s="26">
        <v>0.01</v>
      </c>
      <c r="L64" s="19">
        <v>4476</v>
      </c>
      <c r="M64" s="19">
        <v>544</v>
      </c>
      <c r="N64" s="22">
        <v>0</v>
      </c>
      <c r="O64" s="48">
        <v>0</v>
      </c>
    </row>
    <row r="65" spans="1:15" ht="16.5" customHeight="1" x14ac:dyDescent="0.25">
      <c r="A65" s="52"/>
      <c r="B65" s="19" t="s">
        <v>227</v>
      </c>
      <c r="C65" s="21"/>
      <c r="D65" s="39">
        <v>0.19277279840660094</v>
      </c>
      <c r="E65" s="19">
        <v>0.70799999999999996</v>
      </c>
      <c r="F65" s="16" t="s">
        <v>276</v>
      </c>
      <c r="G65" s="19">
        <v>10422</v>
      </c>
      <c r="H65" s="25">
        <v>23428.26</v>
      </c>
      <c r="I65" s="26">
        <v>0.05</v>
      </c>
      <c r="J65" s="27">
        <v>10.84</v>
      </c>
      <c r="K65" s="26">
        <v>0.05</v>
      </c>
      <c r="L65" s="19">
        <v>12318</v>
      </c>
      <c r="M65" s="19">
        <v>3442</v>
      </c>
      <c r="N65" s="22">
        <v>0</v>
      </c>
      <c r="O65" s="48">
        <v>0</v>
      </c>
    </row>
    <row r="66" spans="1:15" x14ac:dyDescent="0.25">
      <c r="A66" s="52"/>
      <c r="B66" s="19" t="s">
        <v>228</v>
      </c>
      <c r="C66" s="21"/>
      <c r="D66" s="40">
        <v>0.14993204213387765</v>
      </c>
      <c r="E66" s="19">
        <f>VLOOKUP(B66,'[1]Atlas Brasil'!B$3:C$248,2,0)</f>
        <v>0.70699999999999996</v>
      </c>
      <c r="F66" s="16" t="s">
        <v>317</v>
      </c>
      <c r="G66" s="19">
        <v>2184</v>
      </c>
      <c r="H66" s="25">
        <v>30148.17</v>
      </c>
      <c r="I66" s="26">
        <v>6.0000000000000001E-3</v>
      </c>
      <c r="J66" s="27">
        <v>14.18</v>
      </c>
      <c r="K66" s="26">
        <v>0.02</v>
      </c>
      <c r="L66" s="19">
        <v>2931</v>
      </c>
      <c r="M66" s="19">
        <v>389</v>
      </c>
      <c r="N66" s="22">
        <v>0</v>
      </c>
      <c r="O66" s="48">
        <v>0</v>
      </c>
    </row>
    <row r="67" spans="1:15" ht="16.5" customHeight="1" x14ac:dyDescent="0.25">
      <c r="A67" s="52"/>
      <c r="B67" s="19" t="s">
        <v>229</v>
      </c>
      <c r="C67" s="21"/>
      <c r="D67" s="39">
        <v>0.20290920431257245</v>
      </c>
      <c r="E67" s="19">
        <f>VLOOKUP(B67,'[1]Atlas Brasil'!B$3:C$248,2,0)</f>
        <v>0.71499999999999997</v>
      </c>
      <c r="F67" s="16" t="s">
        <v>318</v>
      </c>
      <c r="G67" s="19">
        <v>3123</v>
      </c>
      <c r="H67" s="25">
        <v>12971.17</v>
      </c>
      <c r="I67" s="26">
        <v>8.0000000000000002E-3</v>
      </c>
      <c r="J67" s="27">
        <v>11.94</v>
      </c>
      <c r="K67" s="26">
        <v>0.01</v>
      </c>
      <c r="L67" s="19">
        <v>3607</v>
      </c>
      <c r="M67" s="19">
        <v>1276</v>
      </c>
      <c r="N67" s="21" t="s">
        <v>249</v>
      </c>
      <c r="O67" s="48">
        <v>0</v>
      </c>
    </row>
    <row r="68" spans="1:15" ht="16.5" customHeight="1" x14ac:dyDescent="0.25">
      <c r="A68" s="52"/>
      <c r="B68" s="19" t="s">
        <v>230</v>
      </c>
      <c r="C68" s="21"/>
      <c r="D68" s="39">
        <v>0.17215726305369861</v>
      </c>
      <c r="E68" s="19">
        <f>VLOOKUP(B68,'[1]Atlas Brasil'!B$3:C$248,2,0)</f>
        <v>0.69099999999999995</v>
      </c>
      <c r="F68" s="16" t="s">
        <v>319</v>
      </c>
      <c r="G68" s="19">
        <v>6831</v>
      </c>
      <c r="H68" s="25">
        <v>17278.330000000002</v>
      </c>
      <c r="I68" s="26">
        <v>2E-3</v>
      </c>
      <c r="J68" s="27">
        <v>14.21</v>
      </c>
      <c r="K68" s="26">
        <v>0.03</v>
      </c>
      <c r="L68" s="19">
        <v>7961</v>
      </c>
      <c r="M68" s="19">
        <v>2688</v>
      </c>
      <c r="N68" s="21" t="s">
        <v>250</v>
      </c>
      <c r="O68" s="48">
        <v>0</v>
      </c>
    </row>
    <row r="69" spans="1:15" ht="16.5" customHeight="1" x14ac:dyDescent="0.25">
      <c r="A69" s="52"/>
      <c r="B69" s="19" t="s">
        <v>231</v>
      </c>
      <c r="C69" s="21"/>
      <c r="D69" s="39">
        <v>0.174157976746971</v>
      </c>
      <c r="E69" s="19">
        <f>VLOOKUP(B69,'[1]Atlas Brasil'!B$3:C$248,2,0)</f>
        <v>0.70699999999999996</v>
      </c>
      <c r="F69" s="16" t="s">
        <v>317</v>
      </c>
      <c r="G69" s="19">
        <v>20372</v>
      </c>
      <c r="H69" s="28">
        <v>32202.43</v>
      </c>
      <c r="I69" s="26">
        <v>0.14000000000000001</v>
      </c>
      <c r="J69" s="27">
        <v>12.24</v>
      </c>
      <c r="K69" s="26">
        <v>0.09</v>
      </c>
      <c r="L69" s="19">
        <v>26554</v>
      </c>
      <c r="M69" s="19">
        <v>4600</v>
      </c>
      <c r="N69" s="21" t="s">
        <v>249</v>
      </c>
      <c r="O69" s="48">
        <v>0</v>
      </c>
    </row>
    <row r="70" spans="1:15" x14ac:dyDescent="0.25">
      <c r="A70" s="52"/>
      <c r="B70" s="19" t="s">
        <v>268</v>
      </c>
      <c r="C70" s="21"/>
      <c r="D70" s="39">
        <v>0.22852506038647363</v>
      </c>
      <c r="E70" s="19">
        <f>VLOOKUP(B70,'[1]Atlas Brasil'!B$3:C$248,2,0)</f>
        <v>0.61299999999999999</v>
      </c>
      <c r="F70" s="16" t="s">
        <v>320</v>
      </c>
      <c r="G70" s="19">
        <v>2499</v>
      </c>
      <c r="H70" s="28">
        <v>13920.45</v>
      </c>
      <c r="I70" s="26">
        <v>8.0000000000000002E-3</v>
      </c>
      <c r="J70" s="27">
        <v>15.34</v>
      </c>
      <c r="K70" s="26">
        <v>0.01</v>
      </c>
      <c r="L70" s="19">
        <v>1347</v>
      </c>
      <c r="M70" s="19">
        <v>2775</v>
      </c>
      <c r="N70" s="22">
        <v>0</v>
      </c>
      <c r="O70" s="48">
        <v>0</v>
      </c>
    </row>
    <row r="71" spans="1:15" ht="16.5" customHeight="1" x14ac:dyDescent="0.25">
      <c r="A71" s="52"/>
      <c r="B71" s="19" t="s">
        <v>269</v>
      </c>
      <c r="C71" s="21"/>
      <c r="D71" s="39">
        <v>0.16607588289352745</v>
      </c>
      <c r="E71" s="19">
        <f>VLOOKUP(B71,'[1]Atlas Brasil'!B$3:C$248,2,0)</f>
        <v>0.68300000000000005</v>
      </c>
      <c r="F71" s="16" t="s">
        <v>280</v>
      </c>
      <c r="G71" s="19">
        <v>8918</v>
      </c>
      <c r="H71" s="28">
        <v>30713.58</v>
      </c>
      <c r="I71" s="26">
        <v>0.16</v>
      </c>
      <c r="J71" s="27">
        <v>11.91</v>
      </c>
      <c r="K71" s="26">
        <v>0.05</v>
      </c>
      <c r="L71" s="19">
        <v>12161</v>
      </c>
      <c r="M71" s="19">
        <v>1243</v>
      </c>
      <c r="N71" s="22">
        <v>0</v>
      </c>
      <c r="O71" s="48">
        <v>0</v>
      </c>
    </row>
    <row r="72" spans="1:15" ht="16.5" customHeight="1" x14ac:dyDescent="0.25">
      <c r="A72" s="52"/>
      <c r="B72" s="19" t="s">
        <v>232</v>
      </c>
      <c r="C72" s="21"/>
      <c r="D72" s="39">
        <v>0.17287095088819213</v>
      </c>
      <c r="E72" s="19">
        <f>VLOOKUP(B72,'[1]Atlas Brasil'!B$3:C$248,2,0)</f>
        <v>0.63400000000000001</v>
      </c>
      <c r="F72" s="16" t="s">
        <v>309</v>
      </c>
      <c r="G72" s="19">
        <v>4088</v>
      </c>
      <c r="H72" s="25">
        <v>18190.8</v>
      </c>
      <c r="I72" s="26">
        <v>1.4999999999999999E-2</v>
      </c>
      <c r="J72" s="27">
        <v>18.850000000000001</v>
      </c>
      <c r="K72" s="26">
        <v>0.02</v>
      </c>
      <c r="L72" s="19">
        <v>3767</v>
      </c>
      <c r="M72" s="19">
        <v>2671</v>
      </c>
      <c r="N72" s="22">
        <v>0</v>
      </c>
      <c r="O72" s="48">
        <v>0</v>
      </c>
    </row>
    <row r="73" spans="1:15" ht="16.5" customHeight="1" x14ac:dyDescent="0.25">
      <c r="A73" s="52"/>
      <c r="B73" s="19" t="s">
        <v>233</v>
      </c>
      <c r="C73" s="21"/>
      <c r="D73" s="39">
        <v>0.20827970827970793</v>
      </c>
      <c r="E73" s="19">
        <f>VLOOKUP(B73,'[1]Atlas Brasil'!B$3:C$248,2,0)</f>
        <v>0.68</v>
      </c>
      <c r="F73" s="16" t="s">
        <v>321</v>
      </c>
      <c r="G73" s="19">
        <v>2414</v>
      </c>
      <c r="H73" s="19" t="s">
        <v>274</v>
      </c>
      <c r="I73" s="26">
        <v>8.0000000000000002E-3</v>
      </c>
      <c r="J73" s="27">
        <v>15.97</v>
      </c>
      <c r="K73" s="26">
        <v>0.01</v>
      </c>
      <c r="L73" s="19">
        <v>2540</v>
      </c>
      <c r="M73" s="19">
        <v>1309</v>
      </c>
      <c r="N73" s="21" t="s">
        <v>250</v>
      </c>
      <c r="O73" s="48">
        <v>0</v>
      </c>
    </row>
    <row r="74" spans="1:15" ht="15.75" customHeight="1" x14ac:dyDescent="0.25">
      <c r="A74" s="52"/>
      <c r="B74" s="19" t="s">
        <v>9</v>
      </c>
      <c r="C74" s="29"/>
      <c r="D74" s="39">
        <v>0.19775816294182927</v>
      </c>
      <c r="E74" s="19">
        <f>VLOOKUP(B74,'[1]Atlas Brasil'!B$3:C$248,2,0)</f>
        <v>0.71499999999999997</v>
      </c>
      <c r="F74" s="16" t="s">
        <v>318</v>
      </c>
      <c r="G74" s="19">
        <v>27589</v>
      </c>
      <c r="H74" s="28">
        <v>20463.759999999998</v>
      </c>
      <c r="I74" s="26">
        <v>0.13</v>
      </c>
      <c r="J74" s="27">
        <v>11.19</v>
      </c>
      <c r="K74" s="26">
        <v>0.14000000000000001</v>
      </c>
      <c r="L74" s="19">
        <v>33343</v>
      </c>
      <c r="M74" s="19">
        <v>9018</v>
      </c>
      <c r="N74" s="21" t="s">
        <v>249</v>
      </c>
      <c r="O74" s="48">
        <v>0</v>
      </c>
    </row>
    <row r="75" spans="1:15" ht="16.5" customHeight="1" x14ac:dyDescent="0.25">
      <c r="A75" s="52"/>
      <c r="B75" s="19" t="s">
        <v>270</v>
      </c>
      <c r="C75" s="21"/>
      <c r="D75" s="39">
        <v>0.17567849686847567</v>
      </c>
      <c r="E75" s="19">
        <f>VLOOKUP(B75,'[1]Atlas Brasil'!B$3:C$248,2,0)</f>
        <v>0.64300000000000002</v>
      </c>
      <c r="F75" s="16" t="s">
        <v>322</v>
      </c>
      <c r="G75" s="19">
        <v>7861</v>
      </c>
      <c r="H75" s="28">
        <v>20242.11</v>
      </c>
      <c r="I75" s="26">
        <v>0.05</v>
      </c>
      <c r="J75" s="27">
        <v>17.39</v>
      </c>
      <c r="K75" s="26">
        <v>0.04</v>
      </c>
      <c r="L75" s="19">
        <v>7728</v>
      </c>
      <c r="M75" s="19">
        <v>4199</v>
      </c>
      <c r="N75" s="22">
        <v>0</v>
      </c>
      <c r="O75" s="48">
        <v>0</v>
      </c>
    </row>
    <row r="76" spans="1:15" x14ac:dyDescent="0.25">
      <c r="A76" s="52"/>
      <c r="B76" s="19" t="s">
        <v>234</v>
      </c>
      <c r="C76" s="21"/>
      <c r="D76" s="39">
        <v>0.16613247863247896</v>
      </c>
      <c r="E76" s="19">
        <f>VLOOKUP(B76,'[1]Atlas Brasil'!B$3:C$248,2,0)</f>
        <v>0.65500000000000003</v>
      </c>
      <c r="F76" s="16" t="s">
        <v>323</v>
      </c>
      <c r="G76" s="19">
        <v>1828</v>
      </c>
      <c r="H76" s="25">
        <v>11949.17</v>
      </c>
      <c r="I76" s="26">
        <v>5.0000000000000001E-3</v>
      </c>
      <c r="J76" s="27">
        <v>9.5399999999999991</v>
      </c>
      <c r="K76" s="26">
        <v>0.01</v>
      </c>
      <c r="L76" s="19">
        <v>2024</v>
      </c>
      <c r="M76" s="19">
        <v>802</v>
      </c>
      <c r="N76" s="22">
        <v>0</v>
      </c>
      <c r="O76" s="48">
        <v>0</v>
      </c>
    </row>
    <row r="77" spans="1:15" ht="16.5" customHeight="1" x14ac:dyDescent="0.25">
      <c r="A77" s="52"/>
      <c r="B77" s="19" t="s">
        <v>235</v>
      </c>
      <c r="C77" s="21"/>
      <c r="D77" s="39">
        <v>0.18674502122102482</v>
      </c>
      <c r="E77" s="19">
        <f>VLOOKUP(B77,'[1]Atlas Brasil'!B$3:C$248,2,0)</f>
        <v>0.65800000000000003</v>
      </c>
      <c r="F77" s="16" t="s">
        <v>324</v>
      </c>
      <c r="G77" s="19">
        <v>2555</v>
      </c>
      <c r="H77" s="25">
        <v>16866.47</v>
      </c>
      <c r="I77" s="26">
        <v>0.01</v>
      </c>
      <c r="J77" s="27">
        <v>16.7</v>
      </c>
      <c r="K77" s="26">
        <v>0.01</v>
      </c>
      <c r="L77" s="19">
        <v>2587</v>
      </c>
      <c r="M77" s="19">
        <v>1369</v>
      </c>
      <c r="N77" s="22">
        <v>0</v>
      </c>
      <c r="O77" s="48">
        <v>0</v>
      </c>
    </row>
    <row r="78" spans="1:15" ht="15" customHeight="1" x14ac:dyDescent="0.25">
      <c r="A78" s="52"/>
      <c r="B78" s="19" t="s">
        <v>10</v>
      </c>
      <c r="C78" s="29"/>
      <c r="D78" s="39">
        <v>0.17006765505041921</v>
      </c>
      <c r="E78" s="19">
        <f>VLOOKUP(B78,'[1]Atlas Brasil'!B$3:C$248,2,0)</f>
        <v>0.72699999999999998</v>
      </c>
      <c r="F78" s="16" t="s">
        <v>297</v>
      </c>
      <c r="G78" s="19">
        <v>27531</v>
      </c>
      <c r="H78" s="25">
        <v>18775.73</v>
      </c>
      <c r="I78" s="26">
        <v>0.12</v>
      </c>
      <c r="J78" s="19">
        <v>9.57</v>
      </c>
      <c r="K78" s="26">
        <v>0.14000000000000001</v>
      </c>
      <c r="L78" s="19">
        <v>35731</v>
      </c>
      <c r="M78" s="19">
        <v>6624</v>
      </c>
      <c r="N78" s="21" t="s">
        <v>243</v>
      </c>
      <c r="O78" s="48">
        <v>0</v>
      </c>
    </row>
    <row r="79" spans="1:15" x14ac:dyDescent="0.25">
      <c r="A79" s="52"/>
      <c r="B79" s="19" t="s">
        <v>236</v>
      </c>
      <c r="C79" s="21"/>
      <c r="D79" s="39">
        <v>0.16426660371419644</v>
      </c>
      <c r="E79" s="19">
        <f>VLOOKUP(B79,'[1]Atlas Brasil'!B$3:C$248,2,0)</f>
        <v>0.66500000000000004</v>
      </c>
      <c r="F79" s="16" t="s">
        <v>325</v>
      </c>
      <c r="G79" s="19">
        <v>2419</v>
      </c>
      <c r="H79" s="25">
        <v>14958.44</v>
      </c>
      <c r="I79" s="26">
        <v>8.0000000000000002E-3</v>
      </c>
      <c r="J79" s="27">
        <v>12.76</v>
      </c>
      <c r="K79" s="26">
        <v>0.01</v>
      </c>
      <c r="L79" s="19">
        <v>3355</v>
      </c>
      <c r="M79" s="19">
        <v>640</v>
      </c>
      <c r="N79" s="22">
        <v>0</v>
      </c>
      <c r="O79" s="48">
        <v>0</v>
      </c>
    </row>
    <row r="80" spans="1:15" x14ac:dyDescent="0.25">
      <c r="A80" s="52"/>
      <c r="B80" s="19" t="s">
        <v>237</v>
      </c>
      <c r="C80" s="21"/>
      <c r="D80" s="39">
        <v>0.21945551128817842</v>
      </c>
      <c r="E80" s="19">
        <f>VLOOKUP(B80,'[1]Atlas Brasil'!B$3:C$248,2,0)</f>
        <v>0.70099999999999996</v>
      </c>
      <c r="F80" s="16" t="s">
        <v>290</v>
      </c>
      <c r="G80" s="19">
        <v>6747</v>
      </c>
      <c r="H80" s="25">
        <v>13239.96</v>
      </c>
      <c r="I80" s="26">
        <v>1.7999999999999999E-2</v>
      </c>
      <c r="J80" s="27">
        <v>13.06</v>
      </c>
      <c r="K80" s="26">
        <v>0.03</v>
      </c>
      <c r="L80" s="19">
        <v>7768</v>
      </c>
      <c r="M80" s="19">
        <v>2534</v>
      </c>
      <c r="N80" s="22">
        <v>0</v>
      </c>
      <c r="O80" s="48">
        <v>0</v>
      </c>
    </row>
    <row r="81" spans="1:15" x14ac:dyDescent="0.25">
      <c r="A81" s="52"/>
      <c r="B81" s="19" t="s">
        <v>238</v>
      </c>
      <c r="C81" s="21"/>
      <c r="D81" s="39">
        <v>0.18409380949391807</v>
      </c>
      <c r="E81" s="19">
        <f>VLOOKUP(B81,'[1]Atlas Brasil'!B$3:C$248,2,0)</f>
        <v>0.66400000000000003</v>
      </c>
      <c r="F81" s="16" t="s">
        <v>326</v>
      </c>
      <c r="G81" s="19">
        <v>14549</v>
      </c>
      <c r="H81" s="27" t="s">
        <v>387</v>
      </c>
      <c r="I81" s="26">
        <v>7.0000000000000007E-2</v>
      </c>
      <c r="J81" s="27">
        <v>11.13</v>
      </c>
      <c r="K81" s="26">
        <v>7.0000000000000007E-2</v>
      </c>
      <c r="L81" s="19">
        <v>17661</v>
      </c>
      <c r="M81" s="19">
        <v>4622</v>
      </c>
      <c r="N81" s="21" t="s">
        <v>250</v>
      </c>
      <c r="O81" s="48">
        <v>0</v>
      </c>
    </row>
    <row r="82" spans="1:15" ht="16.5" customHeight="1" x14ac:dyDescent="0.25">
      <c r="A82" s="52"/>
      <c r="B82" s="19" t="s">
        <v>239</v>
      </c>
      <c r="C82" s="21"/>
      <c r="D82" s="39">
        <v>0.16729559748427703</v>
      </c>
      <c r="E82" s="19">
        <f>VLOOKUP(B82,'[1]Atlas Brasil'!B$3:C$248,2,0)</f>
        <v>0.65300000000000002</v>
      </c>
      <c r="F82" s="16" t="s">
        <v>327</v>
      </c>
      <c r="G82" s="19">
        <v>2126</v>
      </c>
      <c r="H82" s="30">
        <v>12673.01</v>
      </c>
      <c r="I82" s="26">
        <v>6.0000000000000001E-3</v>
      </c>
      <c r="J82" s="27">
        <v>15.96</v>
      </c>
      <c r="K82" s="26">
        <v>0.01</v>
      </c>
      <c r="L82" s="19">
        <v>2194</v>
      </c>
      <c r="M82" s="19">
        <v>1258</v>
      </c>
      <c r="N82" s="22">
        <v>0</v>
      </c>
      <c r="O82" s="48">
        <v>0</v>
      </c>
    </row>
    <row r="83" spans="1:15" ht="16.5" customHeight="1" x14ac:dyDescent="0.25">
      <c r="A83" s="52"/>
      <c r="B83" s="19" t="s">
        <v>240</v>
      </c>
      <c r="C83" s="21"/>
      <c r="D83" s="39">
        <v>0.20644403594771313</v>
      </c>
      <c r="E83" s="19">
        <f>VLOOKUP(B83,'[1]Atlas Brasil'!B$3:C$248,2,0)</f>
        <v>0.67</v>
      </c>
      <c r="F83" s="16" t="s">
        <v>328</v>
      </c>
      <c r="G83" s="19">
        <v>1786</v>
      </c>
      <c r="H83" s="30">
        <v>14815.38</v>
      </c>
      <c r="I83" s="26">
        <v>6.0000000000000001E-3</v>
      </c>
      <c r="J83" s="27">
        <v>16.04</v>
      </c>
      <c r="K83" s="26">
        <v>0.01</v>
      </c>
      <c r="L83" s="19">
        <v>1464</v>
      </c>
      <c r="M83" s="19">
        <v>1469</v>
      </c>
      <c r="N83" s="22">
        <v>0</v>
      </c>
      <c r="O83" s="48">
        <v>0</v>
      </c>
    </row>
    <row r="84" spans="1:15" ht="16.5" customHeight="1" x14ac:dyDescent="0.25">
      <c r="A84" s="52"/>
      <c r="B84" s="19" t="s">
        <v>241</v>
      </c>
      <c r="C84" s="21"/>
      <c r="D84" s="40">
        <v>0.14085808764791802</v>
      </c>
      <c r="E84" s="19">
        <f>VLOOKUP(B84,'[1]Atlas Brasil'!B$3:C$248,2,0)</f>
        <v>0.73699999999999999</v>
      </c>
      <c r="F84" s="16" t="s">
        <v>292</v>
      </c>
      <c r="G84" s="19">
        <v>23952</v>
      </c>
      <c r="H84" s="30">
        <v>18774.45</v>
      </c>
      <c r="I84" s="26">
        <v>0.1</v>
      </c>
      <c r="J84" s="27">
        <v>10.08</v>
      </c>
      <c r="K84" s="26">
        <v>0.13</v>
      </c>
      <c r="L84" s="19">
        <v>33796</v>
      </c>
      <c r="M84" s="19">
        <v>3133</v>
      </c>
      <c r="N84" s="21" t="s">
        <v>250</v>
      </c>
      <c r="O84" s="48">
        <v>0</v>
      </c>
    </row>
    <row r="85" spans="1:15" s="15" customFormat="1" x14ac:dyDescent="0.25">
      <c r="A85" s="69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2"/>
    </row>
    <row r="86" spans="1:15" x14ac:dyDescent="0.25">
      <c r="A86" s="50" t="s">
        <v>0</v>
      </c>
      <c r="B86" s="6" t="s">
        <v>66</v>
      </c>
      <c r="C86" s="7"/>
      <c r="D86" s="43">
        <v>0.16916705735271012</v>
      </c>
      <c r="E86" s="6">
        <f>VLOOKUP(B86,'[1]Atlas Brasil'!B$3:C$248,2,0)</f>
        <v>0.71299999999999997</v>
      </c>
      <c r="F86" s="23" t="s">
        <v>295</v>
      </c>
      <c r="G86" s="6">
        <v>4376</v>
      </c>
      <c r="H86" s="12">
        <v>21484.13</v>
      </c>
      <c r="I86" s="9">
        <f>160143/2569735</f>
        <v>6.2318877238314453E-2</v>
      </c>
      <c r="J86" s="10">
        <v>10.119999999999999</v>
      </c>
      <c r="K86" s="9">
        <v>0.03</v>
      </c>
      <c r="L86" s="6">
        <v>5219</v>
      </c>
      <c r="M86" s="6">
        <v>1666</v>
      </c>
      <c r="N86" s="24">
        <v>0</v>
      </c>
      <c r="O86" s="51">
        <v>0</v>
      </c>
    </row>
    <row r="87" spans="1:15" x14ac:dyDescent="0.25">
      <c r="A87" s="50"/>
      <c r="B87" s="6" t="s">
        <v>67</v>
      </c>
      <c r="C87" s="7"/>
      <c r="D87" s="43">
        <v>0.1567592592592589</v>
      </c>
      <c r="E87" s="6">
        <f>VLOOKUP(B87,'[1]Atlas Brasil'!B$3:C$248,2,0)</f>
        <v>0.66</v>
      </c>
      <c r="F87" s="23" t="s">
        <v>329</v>
      </c>
      <c r="G87" s="6">
        <v>5013</v>
      </c>
      <c r="H87" s="12">
        <v>13101.98</v>
      </c>
      <c r="I87" s="9">
        <v>0.04</v>
      </c>
      <c r="J87" s="10">
        <v>15.72</v>
      </c>
      <c r="K87" s="9">
        <v>0.03</v>
      </c>
      <c r="L87" s="6">
        <v>6873</v>
      </c>
      <c r="M87" s="6">
        <v>1211</v>
      </c>
      <c r="N87" s="24">
        <v>0</v>
      </c>
      <c r="O87" s="51">
        <v>0</v>
      </c>
    </row>
    <row r="88" spans="1:15" ht="16.5" customHeight="1" x14ac:dyDescent="0.25">
      <c r="A88" s="50"/>
      <c r="B88" s="6" t="s">
        <v>68</v>
      </c>
      <c r="C88" s="7"/>
      <c r="D88" s="43">
        <v>0.22518706762671239</v>
      </c>
      <c r="E88" s="6">
        <f>VLOOKUP(B88,'[1]Atlas Brasil'!B$3:C$248,2,0)</f>
        <v>0.70399999999999996</v>
      </c>
      <c r="F88" s="23" t="s">
        <v>330</v>
      </c>
      <c r="G88" s="6">
        <v>2101</v>
      </c>
      <c r="H88" s="12">
        <v>24767.22</v>
      </c>
      <c r="I88" s="9">
        <f>83986/2569735</f>
        <v>3.2682747442829709E-2</v>
      </c>
      <c r="J88" s="10">
        <v>16.73</v>
      </c>
      <c r="K88" s="9">
        <v>0.01</v>
      </c>
      <c r="L88" s="6">
        <v>1885</v>
      </c>
      <c r="M88" s="6">
        <v>1436</v>
      </c>
      <c r="N88" s="24">
        <v>0</v>
      </c>
      <c r="O88" s="51">
        <v>0</v>
      </c>
    </row>
    <row r="89" spans="1:15" ht="16.5" customHeight="1" x14ac:dyDescent="0.25">
      <c r="A89" s="50"/>
      <c r="B89" s="6" t="s">
        <v>69</v>
      </c>
      <c r="C89" s="7"/>
      <c r="D89" s="43">
        <v>0.16254434511139251</v>
      </c>
      <c r="E89" s="6">
        <f>VLOOKUP(B89,'[1]Atlas Brasil'!B$3:C$248,2,0)</f>
        <v>0.69199999999999995</v>
      </c>
      <c r="F89" s="23" t="s">
        <v>331</v>
      </c>
      <c r="G89" s="6">
        <v>11778</v>
      </c>
      <c r="H89" s="10" t="s">
        <v>388</v>
      </c>
      <c r="I89" s="9">
        <v>9.6000000000000002E-2</v>
      </c>
      <c r="J89" s="10">
        <v>13.65</v>
      </c>
      <c r="K89" s="9">
        <v>7.0000000000000007E-2</v>
      </c>
      <c r="L89" s="6">
        <v>16206</v>
      </c>
      <c r="M89" s="6">
        <v>2204</v>
      </c>
      <c r="N89" s="24">
        <v>0</v>
      </c>
      <c r="O89" s="51">
        <v>0</v>
      </c>
    </row>
    <row r="90" spans="1:15" ht="16.5" customHeight="1" x14ac:dyDescent="0.25">
      <c r="A90" s="50"/>
      <c r="B90" s="6" t="s">
        <v>70</v>
      </c>
      <c r="C90" s="7"/>
      <c r="D90" s="43">
        <v>0.29390448140448033</v>
      </c>
      <c r="E90" s="6">
        <f>VLOOKUP(B90,'[1]Atlas Brasil'!B$3:C$248,2,0)</f>
        <v>0.58399999999999996</v>
      </c>
      <c r="F90" s="23" t="s">
        <v>332</v>
      </c>
      <c r="G90" s="6">
        <v>5383</v>
      </c>
      <c r="H90" s="12">
        <v>25303.89</v>
      </c>
      <c r="I90" s="9">
        <v>9.6000000000000002E-2</v>
      </c>
      <c r="J90" s="10">
        <v>23.74</v>
      </c>
      <c r="K90" s="9">
        <v>0.03</v>
      </c>
      <c r="L90" s="6">
        <v>4742</v>
      </c>
      <c r="M90" s="6">
        <v>4650</v>
      </c>
      <c r="N90" s="24">
        <v>0</v>
      </c>
      <c r="O90" s="51">
        <v>0</v>
      </c>
    </row>
    <row r="91" spans="1:15" ht="16.5" customHeight="1" x14ac:dyDescent="0.25">
      <c r="A91" s="50"/>
      <c r="B91" s="6" t="s">
        <v>71</v>
      </c>
      <c r="C91" s="7"/>
      <c r="D91" s="43">
        <v>0.25782520325203179</v>
      </c>
      <c r="E91" s="6">
        <f>VLOOKUP(B91,'[1]Atlas Brasil'!B$3:C$248,2,0)</f>
        <v>0.65800000000000003</v>
      </c>
      <c r="F91" s="23" t="s">
        <v>324</v>
      </c>
      <c r="G91" s="6">
        <v>2128</v>
      </c>
      <c r="H91" s="12">
        <v>11540.49</v>
      </c>
      <c r="I91" s="9">
        <v>1.9000000000000001E-4</v>
      </c>
      <c r="J91" s="10">
        <v>14.26</v>
      </c>
      <c r="K91" s="9">
        <v>0.01</v>
      </c>
      <c r="L91" s="6">
        <v>2525</v>
      </c>
      <c r="M91" s="6">
        <v>998</v>
      </c>
      <c r="N91" s="24">
        <v>0</v>
      </c>
      <c r="O91" s="51">
        <v>0</v>
      </c>
    </row>
    <row r="92" spans="1:15" ht="16.5" customHeight="1" x14ac:dyDescent="0.25">
      <c r="A92" s="50"/>
      <c r="B92" s="6" t="s">
        <v>72</v>
      </c>
      <c r="C92" s="7"/>
      <c r="D92" s="43">
        <v>0.21870023275756439</v>
      </c>
      <c r="E92" s="6">
        <f>VLOOKUP(B92,'[1]Atlas Brasil'!B$3:C$248,2,0)</f>
        <v>0.65400000000000003</v>
      </c>
      <c r="F92" s="23" t="s">
        <v>316</v>
      </c>
      <c r="G92" s="6">
        <v>2095</v>
      </c>
      <c r="H92" s="12">
        <v>9047.6</v>
      </c>
      <c r="I92" s="9">
        <v>1E-4</v>
      </c>
      <c r="J92" s="10">
        <v>17.72</v>
      </c>
      <c r="K92" s="9">
        <v>0.01</v>
      </c>
      <c r="L92" s="6">
        <v>1853</v>
      </c>
      <c r="M92" s="6">
        <v>1439</v>
      </c>
      <c r="N92" s="24">
        <v>0</v>
      </c>
      <c r="O92" s="51">
        <v>0</v>
      </c>
    </row>
    <row r="93" spans="1:15" x14ac:dyDescent="0.25">
      <c r="A93" s="50"/>
      <c r="B93" s="6" t="s">
        <v>73</v>
      </c>
      <c r="C93" s="7"/>
      <c r="D93" s="44">
        <v>0.13772510106578342</v>
      </c>
      <c r="E93" s="6">
        <f>VLOOKUP(B93,'[1]Atlas Brasil'!B$3:C$248,2,0)</f>
        <v>0.65300000000000002</v>
      </c>
      <c r="F93" s="23" t="s">
        <v>327</v>
      </c>
      <c r="G93" s="6">
        <v>3049</v>
      </c>
      <c r="H93" s="12">
        <v>11745.9</v>
      </c>
      <c r="I93" s="9">
        <v>1.0999999999999999E-2</v>
      </c>
      <c r="J93" s="10">
        <v>18.97</v>
      </c>
      <c r="K93" s="9">
        <v>0.02</v>
      </c>
      <c r="L93" s="6">
        <v>3491</v>
      </c>
      <c r="M93" s="6">
        <v>1471</v>
      </c>
      <c r="N93" s="24">
        <v>0</v>
      </c>
      <c r="O93" s="51">
        <v>0</v>
      </c>
    </row>
    <row r="94" spans="1:15" x14ac:dyDescent="0.25">
      <c r="A94" s="50"/>
      <c r="B94" s="6" t="s">
        <v>74</v>
      </c>
      <c r="C94" s="7"/>
      <c r="D94" s="43">
        <v>0.22155568886222957</v>
      </c>
      <c r="E94" s="6">
        <f>VLOOKUP(B94,'[1]Atlas Brasil'!B$3:C$248,2,0)</f>
        <v>0.59699999999999998</v>
      </c>
      <c r="F94" s="23" t="s">
        <v>333</v>
      </c>
      <c r="G94" s="6">
        <v>7706</v>
      </c>
      <c r="H94" s="12">
        <v>9487.18</v>
      </c>
      <c r="I94" s="9">
        <v>5.0000000000000001E-4</v>
      </c>
      <c r="J94" s="10">
        <v>16.010000000000002</v>
      </c>
      <c r="K94" s="9">
        <v>0.41</v>
      </c>
      <c r="L94" s="6">
        <v>3170</v>
      </c>
      <c r="M94" s="6">
        <v>8896</v>
      </c>
      <c r="N94" s="24">
        <v>0</v>
      </c>
      <c r="O94" s="51">
        <v>0</v>
      </c>
    </row>
    <row r="95" spans="1:15" x14ac:dyDescent="0.25">
      <c r="A95" s="50"/>
      <c r="B95" s="6" t="s">
        <v>75</v>
      </c>
      <c r="C95" s="7"/>
      <c r="D95" s="43">
        <v>0.19354464182050349</v>
      </c>
      <c r="E95" s="6">
        <f>VLOOKUP(B95,'[1]Atlas Brasil'!B$3:C$248,2,0)</f>
        <v>0.63700000000000001</v>
      </c>
      <c r="F95" s="23" t="s">
        <v>334</v>
      </c>
      <c r="G95" s="6">
        <v>2658</v>
      </c>
      <c r="H95" s="12">
        <v>10616.44</v>
      </c>
      <c r="I95" s="9">
        <v>1.7000000000000001E-4</v>
      </c>
      <c r="J95" s="10">
        <v>20.56</v>
      </c>
      <c r="K95" s="9">
        <v>0.01</v>
      </c>
      <c r="L95" s="6">
        <v>1763</v>
      </c>
      <c r="M95" s="6">
        <v>2495</v>
      </c>
      <c r="N95" s="24">
        <v>0</v>
      </c>
      <c r="O95" s="51">
        <v>0</v>
      </c>
    </row>
    <row r="96" spans="1:15" ht="16.5" customHeight="1" x14ac:dyDescent="0.25">
      <c r="A96" s="50"/>
      <c r="B96" s="6" t="s">
        <v>76</v>
      </c>
      <c r="C96" s="7"/>
      <c r="D96" s="43">
        <v>0.20896914208205986</v>
      </c>
      <c r="E96" s="6">
        <f>VLOOKUP(B96,'[1]Atlas Brasil'!B$3:C$248,2,0)</f>
        <v>0.64400000000000002</v>
      </c>
      <c r="F96" s="23" t="s">
        <v>335</v>
      </c>
      <c r="G96" s="6">
        <v>7575</v>
      </c>
      <c r="H96" s="10" t="s">
        <v>389</v>
      </c>
      <c r="I96" s="9">
        <v>5.0000000000000001E-4</v>
      </c>
      <c r="J96" s="10">
        <v>17.579999999999998</v>
      </c>
      <c r="K96" s="9">
        <v>0.05</v>
      </c>
      <c r="L96" s="6">
        <v>9300</v>
      </c>
      <c r="M96" s="6">
        <v>3127</v>
      </c>
      <c r="N96" s="24">
        <v>0</v>
      </c>
      <c r="O96" s="51">
        <v>0</v>
      </c>
    </row>
    <row r="97" spans="1:15" ht="16.5" customHeight="1" x14ac:dyDescent="0.25">
      <c r="A97" s="50"/>
      <c r="B97" s="6" t="s">
        <v>77</v>
      </c>
      <c r="C97" s="7"/>
      <c r="D97" s="43">
        <v>0.19710635099586568</v>
      </c>
      <c r="E97" s="6">
        <f>VLOOKUP(B97,'[1]Atlas Brasil'!B$3:C$248,2,0)</f>
        <v>0.626</v>
      </c>
      <c r="F97" s="23" t="s">
        <v>336</v>
      </c>
      <c r="G97" s="6">
        <v>4237</v>
      </c>
      <c r="H97" s="12">
        <v>9424.74</v>
      </c>
      <c r="I97" s="9">
        <v>2.0000000000000001E-4</v>
      </c>
      <c r="J97" s="10">
        <v>17.96</v>
      </c>
      <c r="K97" s="9">
        <v>0.03</v>
      </c>
      <c r="L97" s="6">
        <v>4802</v>
      </c>
      <c r="M97" s="6">
        <v>2069</v>
      </c>
      <c r="N97" s="24">
        <v>0</v>
      </c>
      <c r="O97" s="51">
        <v>0</v>
      </c>
    </row>
    <row r="98" spans="1:15" x14ac:dyDescent="0.25">
      <c r="A98" s="50"/>
      <c r="B98" s="6" t="s">
        <v>78</v>
      </c>
      <c r="C98" s="7"/>
      <c r="D98" s="43">
        <v>0.24686002313667155</v>
      </c>
      <c r="E98" s="6">
        <f>VLOOKUP(B98,'[1]Atlas Brasil'!B$3:C$248,2,0)</f>
        <v>0.61499999999999999</v>
      </c>
      <c r="F98" s="23" t="s">
        <v>337</v>
      </c>
      <c r="G98" s="6">
        <v>4610</v>
      </c>
      <c r="H98" s="12">
        <v>9732.41</v>
      </c>
      <c r="I98" s="9">
        <v>2.9999999999999997E-4</v>
      </c>
      <c r="J98" s="10">
        <v>22.67</v>
      </c>
      <c r="K98" s="9">
        <v>0.03</v>
      </c>
      <c r="L98" s="6">
        <v>3164</v>
      </c>
      <c r="M98" s="6">
        <v>4566</v>
      </c>
      <c r="N98" s="24">
        <v>0</v>
      </c>
      <c r="O98" s="51">
        <v>0</v>
      </c>
    </row>
    <row r="99" spans="1:15" ht="16.5" customHeight="1" x14ac:dyDescent="0.25">
      <c r="A99" s="50"/>
      <c r="B99" s="6" t="s">
        <v>79</v>
      </c>
      <c r="C99" s="7"/>
      <c r="D99" s="43">
        <v>0.20127915726109852</v>
      </c>
      <c r="E99" s="6">
        <f>VLOOKUP(B99,'[1]Atlas Brasil'!B$3:C$248,2,0)</f>
        <v>0.63400000000000001</v>
      </c>
      <c r="F99" s="23" t="s">
        <v>309</v>
      </c>
      <c r="G99" s="6">
        <v>2101</v>
      </c>
      <c r="H99" s="12">
        <v>13277.91</v>
      </c>
      <c r="I99" s="9">
        <v>1E-4</v>
      </c>
      <c r="J99" s="10">
        <v>17.899999999999999</v>
      </c>
      <c r="K99" s="9">
        <v>0.01</v>
      </c>
      <c r="L99" s="6">
        <v>1426</v>
      </c>
      <c r="M99" s="6">
        <v>2045</v>
      </c>
      <c r="N99" s="24">
        <v>0</v>
      </c>
      <c r="O99" s="51">
        <v>0</v>
      </c>
    </row>
    <row r="100" spans="1:15" ht="16.5" customHeight="1" x14ac:dyDescent="0.25">
      <c r="A100" s="50"/>
      <c r="B100" s="6" t="s">
        <v>80</v>
      </c>
      <c r="C100" s="7"/>
      <c r="D100" s="43">
        <v>0.21135197989991608</v>
      </c>
      <c r="E100" s="6">
        <f>VLOOKUP(B100,'[1]Atlas Brasil'!B$3:C$248,2,0)</f>
        <v>0.65900000000000003</v>
      </c>
      <c r="F100" s="23" t="s">
        <v>338</v>
      </c>
      <c r="G100" s="6">
        <v>20143</v>
      </c>
      <c r="H100" s="12">
        <v>13190.83</v>
      </c>
      <c r="I100" s="9">
        <v>1.8E-3</v>
      </c>
      <c r="J100" s="10">
        <v>13.67</v>
      </c>
      <c r="K100" s="9">
        <v>0.12</v>
      </c>
      <c r="L100" s="6">
        <v>23939</v>
      </c>
      <c r="M100" s="6">
        <v>7480</v>
      </c>
      <c r="N100" s="7" t="s">
        <v>246</v>
      </c>
      <c r="O100" s="51">
        <v>0</v>
      </c>
    </row>
    <row r="101" spans="1:15" ht="16.5" customHeight="1" x14ac:dyDescent="0.25">
      <c r="A101" s="50"/>
      <c r="B101" s="6" t="s">
        <v>81</v>
      </c>
      <c r="C101" s="7"/>
      <c r="D101" s="43">
        <v>0.17446161976483041</v>
      </c>
      <c r="E101" s="6">
        <f>VLOOKUP(B101,'[1]Atlas Brasil'!B$3:C$248,2,0)</f>
        <v>0.59699999999999998</v>
      </c>
      <c r="F101" s="23" t="s">
        <v>333</v>
      </c>
      <c r="G101" s="6">
        <v>7006</v>
      </c>
      <c r="H101" s="12">
        <v>11816.12</v>
      </c>
      <c r="I101" s="9">
        <v>5.0000000000000001E-4</v>
      </c>
      <c r="J101" s="10">
        <v>20.92</v>
      </c>
      <c r="K101" s="9">
        <v>0.04</v>
      </c>
      <c r="L101" s="6">
        <v>5774</v>
      </c>
      <c r="M101" s="6">
        <v>5498</v>
      </c>
      <c r="N101" s="24">
        <v>0</v>
      </c>
      <c r="O101" s="51">
        <v>0</v>
      </c>
    </row>
    <row r="102" spans="1:15" x14ac:dyDescent="0.25">
      <c r="A102" s="50"/>
      <c r="B102" s="6" t="s">
        <v>82</v>
      </c>
      <c r="C102" s="7"/>
      <c r="D102" s="43">
        <v>0.19300629614531004</v>
      </c>
      <c r="E102" s="6">
        <f>VLOOKUP(B102,'[1]Atlas Brasil'!B$3:C$248,2,0)</f>
        <v>0.68500000000000005</v>
      </c>
      <c r="F102" s="23" t="s">
        <v>281</v>
      </c>
      <c r="G102" s="6">
        <v>6309</v>
      </c>
      <c r="H102" s="12">
        <v>23186.59</v>
      </c>
      <c r="I102" s="9">
        <v>1.1000000000000001E-3</v>
      </c>
      <c r="J102" s="10">
        <v>12.68</v>
      </c>
      <c r="K102" s="9">
        <v>0.05</v>
      </c>
      <c r="L102" s="6">
        <v>6724</v>
      </c>
      <c r="M102" s="6">
        <v>3533</v>
      </c>
      <c r="N102" s="24">
        <v>0</v>
      </c>
      <c r="O102" s="51">
        <v>0</v>
      </c>
    </row>
    <row r="103" spans="1:15" ht="16.5" customHeight="1" x14ac:dyDescent="0.25">
      <c r="A103" s="50"/>
      <c r="B103" s="6" t="s">
        <v>83</v>
      </c>
      <c r="C103" s="7"/>
      <c r="D103" s="43">
        <v>0.22608024691357798</v>
      </c>
      <c r="E103" s="6">
        <f>VLOOKUP(B103,'[1]Atlas Brasil'!B$3:C$248,2,0)</f>
        <v>0.64500000000000002</v>
      </c>
      <c r="F103" s="23" t="s">
        <v>339</v>
      </c>
      <c r="G103" s="6">
        <v>4065</v>
      </c>
      <c r="H103" s="12">
        <v>13216.64</v>
      </c>
      <c r="I103" s="9">
        <v>2.9999999999999997E-4</v>
      </c>
      <c r="J103" s="10">
        <v>15.92</v>
      </c>
      <c r="K103" s="9">
        <v>0.02</v>
      </c>
      <c r="L103" s="6">
        <v>5378</v>
      </c>
      <c r="M103" s="6">
        <v>1136</v>
      </c>
      <c r="N103" s="24">
        <v>0</v>
      </c>
      <c r="O103" s="51">
        <v>0</v>
      </c>
    </row>
    <row r="104" spans="1:15" ht="16.5" customHeight="1" x14ac:dyDescent="0.25">
      <c r="A104" s="50"/>
      <c r="B104" s="6" t="s">
        <v>271</v>
      </c>
      <c r="C104" s="7"/>
      <c r="D104" s="43">
        <v>0.20512467913457988</v>
      </c>
      <c r="E104" s="6">
        <f>VLOOKUP(B104,'[1]Atlas Brasil'!B$3:C$248,2,0)</f>
        <v>0.61699999999999999</v>
      </c>
      <c r="F104" s="23" t="s">
        <v>340</v>
      </c>
      <c r="G104" s="6">
        <v>1786</v>
      </c>
      <c r="H104" s="10" t="s">
        <v>390</v>
      </c>
      <c r="I104" s="9">
        <v>1E-4</v>
      </c>
      <c r="J104" s="10">
        <v>21.44</v>
      </c>
      <c r="K104" s="9">
        <v>0.01</v>
      </c>
      <c r="L104" s="6">
        <v>994</v>
      </c>
      <c r="M104" s="6">
        <v>1831</v>
      </c>
      <c r="N104" s="24">
        <v>0</v>
      </c>
      <c r="O104" s="51">
        <v>0</v>
      </c>
    </row>
    <row r="105" spans="1:15" x14ac:dyDescent="0.25">
      <c r="A105" s="50"/>
      <c r="B105" s="6" t="s">
        <v>84</v>
      </c>
      <c r="C105" s="7"/>
      <c r="D105" s="43">
        <v>0.24994145884556793</v>
      </c>
      <c r="E105" s="6">
        <f>VLOOKUP(B105,'[1]Atlas Brasil'!B$3:C$248,2,0)</f>
        <v>0.66100000000000003</v>
      </c>
      <c r="F105" s="23" t="s">
        <v>294</v>
      </c>
      <c r="G105" s="6">
        <v>1756</v>
      </c>
      <c r="H105" s="12">
        <v>8934.51</v>
      </c>
      <c r="I105" s="9">
        <v>1E-4</v>
      </c>
      <c r="J105" s="10">
        <v>14.36</v>
      </c>
      <c r="K105" s="9">
        <v>0.01</v>
      </c>
      <c r="L105" s="6">
        <v>2134</v>
      </c>
      <c r="M105" s="6">
        <v>882</v>
      </c>
      <c r="N105" s="24">
        <v>0</v>
      </c>
      <c r="O105" s="51">
        <v>0</v>
      </c>
    </row>
    <row r="106" spans="1:15" s="15" customFormat="1" x14ac:dyDescent="0.25">
      <c r="A106" s="69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2"/>
    </row>
    <row r="107" spans="1:15" ht="16.5" customHeight="1" x14ac:dyDescent="0.25">
      <c r="A107" s="52" t="s">
        <v>411</v>
      </c>
      <c r="B107" s="19" t="s">
        <v>85</v>
      </c>
      <c r="C107" s="21"/>
      <c r="D107" s="39">
        <v>0.16145271485077339</v>
      </c>
      <c r="E107" s="19">
        <f>VLOOKUP(B107,'[1]Atlas Brasil'!B$3:C$248,2,0)</f>
        <v>0.68899999999999995</v>
      </c>
      <c r="F107" s="16" t="s">
        <v>341</v>
      </c>
      <c r="G107" s="19">
        <v>10356</v>
      </c>
      <c r="H107" s="30">
        <v>15628.4</v>
      </c>
      <c r="I107" s="26">
        <v>0.02</v>
      </c>
      <c r="J107" s="27">
        <v>9.83</v>
      </c>
      <c r="K107" s="26">
        <v>0.02</v>
      </c>
      <c r="L107" s="19">
        <v>10778</v>
      </c>
      <c r="M107" s="19">
        <v>4979</v>
      </c>
      <c r="N107" s="21" t="s">
        <v>247</v>
      </c>
      <c r="O107" s="48">
        <v>0</v>
      </c>
    </row>
    <row r="108" spans="1:15" x14ac:dyDescent="0.25">
      <c r="A108" s="52"/>
      <c r="B108" s="19" t="s">
        <v>86</v>
      </c>
      <c r="C108" s="21"/>
      <c r="D108" s="39">
        <v>0.1655474155474152</v>
      </c>
      <c r="E108" s="19">
        <f>VLOOKUP(B108,'[1]Atlas Brasil'!B$3:C$248,2,0)</f>
        <v>0.67100000000000004</v>
      </c>
      <c r="F108" s="16" t="s">
        <v>342</v>
      </c>
      <c r="G108" s="19">
        <v>3245</v>
      </c>
      <c r="H108" s="30">
        <v>49715.24</v>
      </c>
      <c r="I108" s="26">
        <v>0.01</v>
      </c>
      <c r="J108" s="27">
        <v>13.45</v>
      </c>
      <c r="K108" s="26">
        <v>0</v>
      </c>
      <c r="L108" s="19">
        <v>2137</v>
      </c>
      <c r="M108" s="19">
        <v>2953</v>
      </c>
      <c r="N108" s="22">
        <v>0</v>
      </c>
      <c r="O108" s="48">
        <v>0</v>
      </c>
    </row>
    <row r="109" spans="1:15" x14ac:dyDescent="0.25">
      <c r="A109" s="52"/>
      <c r="B109" s="19" t="s">
        <v>87</v>
      </c>
      <c r="C109" s="21"/>
      <c r="D109" s="39">
        <v>0.2118380695779227</v>
      </c>
      <c r="E109" s="19">
        <f>VLOOKUP(B109,'[1]Atlas Brasil'!B$3:C$248,2,0)</f>
        <v>0.68600000000000005</v>
      </c>
      <c r="F109" s="16" t="s">
        <v>343</v>
      </c>
      <c r="G109" s="19">
        <v>102492</v>
      </c>
      <c r="H109" s="27" t="s">
        <v>391</v>
      </c>
      <c r="I109" s="26">
        <v>0.09</v>
      </c>
      <c r="J109" s="27">
        <v>6.39</v>
      </c>
      <c r="K109" s="26">
        <v>0.18</v>
      </c>
      <c r="L109" s="19">
        <v>159138</v>
      </c>
      <c r="M109" s="19">
        <v>240</v>
      </c>
      <c r="N109" s="22">
        <v>0</v>
      </c>
      <c r="O109" s="48">
        <v>0</v>
      </c>
    </row>
    <row r="110" spans="1:15" ht="16.5" customHeight="1" x14ac:dyDescent="0.25">
      <c r="A110" s="52"/>
      <c r="B110" s="19" t="s">
        <v>88</v>
      </c>
      <c r="C110" s="21"/>
      <c r="D110" s="39">
        <v>0.1840200330441927</v>
      </c>
      <c r="E110" s="19">
        <f>VLOOKUP(B110,'[1]Atlas Brasil'!B$3:C$248,2,0)</f>
        <v>0.68200000000000005</v>
      </c>
      <c r="F110" s="16" t="s">
        <v>344</v>
      </c>
      <c r="G110" s="19">
        <v>14904</v>
      </c>
      <c r="H110" s="30">
        <v>52951.89</v>
      </c>
      <c r="I110" s="26">
        <v>0.08</v>
      </c>
      <c r="J110" s="27">
        <v>10.58</v>
      </c>
      <c r="K110" s="26">
        <v>0.02</v>
      </c>
      <c r="L110" s="19">
        <v>19676</v>
      </c>
      <c r="M110" s="19">
        <v>4138</v>
      </c>
      <c r="N110" s="21" t="s">
        <v>245</v>
      </c>
      <c r="O110" s="48">
        <v>0</v>
      </c>
    </row>
    <row r="111" spans="1:15" ht="16.5" customHeight="1" x14ac:dyDescent="0.25">
      <c r="A111" s="52"/>
      <c r="B111" s="19" t="s">
        <v>89</v>
      </c>
      <c r="C111" s="21"/>
      <c r="D111" s="39">
        <v>0.16134600327425372</v>
      </c>
      <c r="E111" s="19">
        <f>VLOOKUP(B111,'[1]Atlas Brasil'!B$3:C$248,2,0)</f>
        <v>0.66800000000000004</v>
      </c>
      <c r="F111" s="16" t="s">
        <v>345</v>
      </c>
      <c r="G111" s="19">
        <v>4686</v>
      </c>
      <c r="H111" s="30">
        <v>34393.25</v>
      </c>
      <c r="I111" s="26">
        <v>0.01</v>
      </c>
      <c r="J111" s="27">
        <v>11.76</v>
      </c>
      <c r="K111" s="26">
        <v>0.01</v>
      </c>
      <c r="L111" s="19">
        <v>5505</v>
      </c>
      <c r="M111" s="19">
        <v>1849</v>
      </c>
      <c r="N111" s="21" t="s">
        <v>248</v>
      </c>
      <c r="O111" s="48">
        <v>0</v>
      </c>
    </row>
    <row r="112" spans="1:15" x14ac:dyDescent="0.25">
      <c r="A112" s="52"/>
      <c r="B112" s="19" t="s">
        <v>90</v>
      </c>
      <c r="C112" s="21"/>
      <c r="D112" s="39">
        <v>0.18589860947647951</v>
      </c>
      <c r="E112" s="19">
        <f>VLOOKUP(B112,'[1]Atlas Brasil'!B$3:C$248,2,0)</f>
        <v>0.71699999999999997</v>
      </c>
      <c r="F112" s="16" t="s">
        <v>346</v>
      </c>
      <c r="G112" s="19">
        <v>36616</v>
      </c>
      <c r="H112" s="30">
        <v>10694.22</v>
      </c>
      <c r="I112" s="26">
        <v>0.04</v>
      </c>
      <c r="J112" s="27">
        <v>5.04</v>
      </c>
      <c r="K112" s="26">
        <v>0.06</v>
      </c>
      <c r="L112" s="19">
        <v>43654</v>
      </c>
      <c r="M112" s="19">
        <v>12261</v>
      </c>
      <c r="N112" s="21" t="s">
        <v>245</v>
      </c>
      <c r="O112" s="48">
        <v>0</v>
      </c>
    </row>
    <row r="113" spans="1:15" x14ac:dyDescent="0.25">
      <c r="A113" s="52"/>
      <c r="B113" s="19" t="s">
        <v>91</v>
      </c>
      <c r="C113" s="21"/>
      <c r="D113" s="39">
        <v>0.20320673186263144</v>
      </c>
      <c r="E113" s="19">
        <f>VLOOKUP(B113,'[1]Atlas Brasil'!B$3:C$248,2,0)</f>
        <v>0.65700000000000003</v>
      </c>
      <c r="F113" s="16" t="s">
        <v>347</v>
      </c>
      <c r="G113" s="19">
        <v>11102</v>
      </c>
      <c r="H113" s="27" t="s">
        <v>392</v>
      </c>
      <c r="I113" s="26">
        <v>0.02</v>
      </c>
      <c r="J113" s="27">
        <v>11.28</v>
      </c>
      <c r="K113" s="26">
        <v>0.02</v>
      </c>
      <c r="L113" s="19">
        <v>6444</v>
      </c>
      <c r="M113" s="19">
        <v>10963</v>
      </c>
      <c r="N113" s="22">
        <v>0</v>
      </c>
      <c r="O113" s="48">
        <v>0</v>
      </c>
    </row>
    <row r="114" spans="1:15" x14ac:dyDescent="0.25">
      <c r="A114" s="52"/>
      <c r="B114" s="19" t="s">
        <v>92</v>
      </c>
      <c r="C114" s="21"/>
      <c r="D114" s="39">
        <v>0.19681186868686942</v>
      </c>
      <c r="E114" s="19">
        <f>VLOOKUP(B114,'[1]Atlas Brasil'!B$3:C$248,2,0)</f>
        <v>0.68</v>
      </c>
      <c r="F114" s="16" t="s">
        <v>321</v>
      </c>
      <c r="G114" s="19">
        <v>6472</v>
      </c>
      <c r="H114" s="25">
        <v>12933.88</v>
      </c>
      <c r="I114" s="26">
        <v>0.01</v>
      </c>
      <c r="J114" s="27">
        <v>13.84</v>
      </c>
      <c r="K114" s="26">
        <v>0.01</v>
      </c>
      <c r="L114" s="19">
        <v>6416</v>
      </c>
      <c r="M114" s="19">
        <v>3945</v>
      </c>
      <c r="N114" s="21" t="s">
        <v>247</v>
      </c>
      <c r="O114" s="48">
        <v>0</v>
      </c>
    </row>
    <row r="115" spans="1:15" ht="15.75" customHeight="1" x14ac:dyDescent="0.25">
      <c r="A115" s="52"/>
      <c r="B115" s="19" t="s">
        <v>12</v>
      </c>
      <c r="C115" s="29"/>
      <c r="D115" s="39">
        <v>0.1948980581179568</v>
      </c>
      <c r="E115" s="19">
        <f>VLOOKUP(B115,'[1]Atlas Brasil'!B$3:C$248,2,0)</f>
        <v>0.69899999999999995</v>
      </c>
      <c r="F115" s="16" t="s">
        <v>291</v>
      </c>
      <c r="G115" s="19">
        <v>29972</v>
      </c>
      <c r="H115" s="25">
        <v>42330.239999999998</v>
      </c>
      <c r="I115" s="26">
        <v>0.12</v>
      </c>
      <c r="J115" s="19">
        <v>8.26</v>
      </c>
      <c r="K115" s="26">
        <v>0.05</v>
      </c>
      <c r="L115" s="19">
        <v>38421</v>
      </c>
      <c r="M115" s="19">
        <v>8159</v>
      </c>
      <c r="N115" s="21" t="s">
        <v>257</v>
      </c>
      <c r="O115" s="48">
        <v>0</v>
      </c>
    </row>
    <row r="116" spans="1:15" ht="15.75" customHeight="1" x14ac:dyDescent="0.25">
      <c r="A116" s="52"/>
      <c r="B116" s="19" t="s">
        <v>13</v>
      </c>
      <c r="C116" s="29"/>
      <c r="D116" s="39">
        <v>0.20285729602229793</v>
      </c>
      <c r="E116" s="19">
        <f>VLOOKUP(B116,'[1]Atlas Brasil'!B$3:C$248,2,0)</f>
        <v>0.74399999999999999</v>
      </c>
      <c r="F116" s="16" t="s">
        <v>348</v>
      </c>
      <c r="G116" s="19">
        <v>65542</v>
      </c>
      <c r="H116" s="25">
        <v>18456.689999999999</v>
      </c>
      <c r="I116" s="26">
        <v>0.11</v>
      </c>
      <c r="J116" s="19">
        <v>7.82</v>
      </c>
      <c r="K116" s="26">
        <v>0</v>
      </c>
      <c r="L116" s="19">
        <v>92023</v>
      </c>
      <c r="M116" s="19">
        <v>8062</v>
      </c>
      <c r="N116" s="21" t="s">
        <v>247</v>
      </c>
      <c r="O116" s="48">
        <v>0</v>
      </c>
    </row>
    <row r="117" spans="1:15" ht="16.5" customHeight="1" x14ac:dyDescent="0.25">
      <c r="A117" s="52"/>
      <c r="B117" s="19" t="s">
        <v>93</v>
      </c>
      <c r="C117" s="21"/>
      <c r="D117" s="39">
        <v>0.16393218331348397</v>
      </c>
      <c r="E117" s="19">
        <f>VLOOKUP(B117,'[1]Atlas Brasil'!B$3:C$248,2,0)</f>
        <v>0.70099999999999996</v>
      </c>
      <c r="F117" s="16" t="s">
        <v>290</v>
      </c>
      <c r="G117" s="19">
        <v>112096</v>
      </c>
      <c r="H117" s="30">
        <v>17471.11</v>
      </c>
      <c r="I117" s="26">
        <v>0.19</v>
      </c>
      <c r="J117" s="27">
        <v>7.17</v>
      </c>
      <c r="K117" s="26">
        <v>0.18</v>
      </c>
      <c r="L117" s="19">
        <v>162807</v>
      </c>
      <c r="M117" s="19">
        <v>11724</v>
      </c>
      <c r="N117" s="21" t="s">
        <v>247</v>
      </c>
      <c r="O117" s="48">
        <v>0</v>
      </c>
    </row>
    <row r="118" spans="1:15" x14ac:dyDescent="0.25">
      <c r="A118" s="52"/>
      <c r="B118" s="19" t="s">
        <v>94</v>
      </c>
      <c r="C118" s="21"/>
      <c r="D118" s="40">
        <v>0.12606837606837601</v>
      </c>
      <c r="E118" s="19">
        <f>VLOOKUP(B118,'[1]Atlas Brasil'!B$3:C$248,2,0)</f>
        <v>0.66500000000000004</v>
      </c>
      <c r="F118" s="16" t="s">
        <v>325</v>
      </c>
      <c r="G118" s="19">
        <v>1650</v>
      </c>
      <c r="H118" s="30">
        <v>15274.88</v>
      </c>
      <c r="I118" s="26">
        <v>0</v>
      </c>
      <c r="J118" s="27">
        <v>16.87</v>
      </c>
      <c r="K118" s="26">
        <v>0</v>
      </c>
      <c r="L118" s="19">
        <v>1242</v>
      </c>
      <c r="M118" s="19">
        <v>1443</v>
      </c>
      <c r="N118" s="22">
        <v>0</v>
      </c>
      <c r="O118" s="48">
        <v>0</v>
      </c>
    </row>
    <row r="119" spans="1:15" ht="16.5" customHeight="1" x14ac:dyDescent="0.25">
      <c r="A119" s="52"/>
      <c r="B119" s="19" t="s">
        <v>96</v>
      </c>
      <c r="C119" s="21"/>
      <c r="D119" s="39">
        <v>0.17735042735043019</v>
      </c>
      <c r="E119" s="19">
        <f>VLOOKUP(B119,'[1]Atlas Brasil'!B$3:C$248,2,0)</f>
        <v>0.68400000000000005</v>
      </c>
      <c r="F119" s="16" t="s">
        <v>278</v>
      </c>
      <c r="G119" s="19">
        <v>61357</v>
      </c>
      <c r="H119" s="30">
        <v>7501.44</v>
      </c>
      <c r="I119" s="26">
        <v>0.04</v>
      </c>
      <c r="J119" s="27">
        <v>6.27</v>
      </c>
      <c r="K119" s="26">
        <v>0.1</v>
      </c>
      <c r="L119" s="19">
        <v>93971</v>
      </c>
      <c r="M119" s="19">
        <v>1047</v>
      </c>
      <c r="N119" s="21" t="s">
        <v>244</v>
      </c>
      <c r="O119" s="48">
        <v>0</v>
      </c>
    </row>
    <row r="120" spans="1:15" x14ac:dyDescent="0.25">
      <c r="A120" s="52"/>
      <c r="B120" s="19" t="s">
        <v>95</v>
      </c>
      <c r="C120" s="21"/>
      <c r="D120" s="39">
        <v>0.17139506733242368</v>
      </c>
      <c r="E120" s="19">
        <f>VLOOKUP(B120,'[1]Atlas Brasil'!B$3:C$248,2,0)</f>
        <v>0.65100000000000002</v>
      </c>
      <c r="F120" s="16" t="s">
        <v>310</v>
      </c>
      <c r="G120" s="19">
        <v>16712</v>
      </c>
      <c r="H120" s="27" t="s">
        <v>393</v>
      </c>
      <c r="I120" s="26">
        <v>0.03</v>
      </c>
      <c r="J120" s="27">
        <v>12.74</v>
      </c>
      <c r="K120" s="26">
        <v>0.03</v>
      </c>
      <c r="L120" s="19">
        <v>10786</v>
      </c>
      <c r="M120" s="19">
        <v>16885</v>
      </c>
      <c r="N120" s="21" t="s">
        <v>247</v>
      </c>
      <c r="O120" s="48">
        <v>0</v>
      </c>
    </row>
    <row r="121" spans="1:15" ht="16.5" customHeight="1" x14ac:dyDescent="0.25">
      <c r="A121" s="52"/>
      <c r="B121" s="19" t="s">
        <v>97</v>
      </c>
      <c r="C121" s="21"/>
      <c r="D121" s="39">
        <v>0.15995462280204142</v>
      </c>
      <c r="E121" s="19">
        <f>VLOOKUP(B121,'[1]Atlas Brasil'!B$3:C$248,2,0)</f>
        <v>0.69299999999999995</v>
      </c>
      <c r="F121" s="16" t="s">
        <v>308</v>
      </c>
      <c r="G121" s="19">
        <v>14765</v>
      </c>
      <c r="H121" s="30">
        <v>14120.17</v>
      </c>
      <c r="I121" s="26">
        <v>0.02</v>
      </c>
      <c r="J121" s="27">
        <v>9.93</v>
      </c>
      <c r="K121" s="26">
        <v>0.02</v>
      </c>
      <c r="L121" s="19">
        <v>15563</v>
      </c>
      <c r="M121" s="19">
        <v>7443</v>
      </c>
      <c r="N121" s="21" t="s">
        <v>247</v>
      </c>
      <c r="O121" s="48">
        <v>0</v>
      </c>
    </row>
    <row r="122" spans="1:15" s="1" customFormat="1" x14ac:dyDescent="0.25">
      <c r="A122" s="52"/>
      <c r="B122" s="19" t="s">
        <v>11</v>
      </c>
      <c r="C122" s="32"/>
      <c r="D122" s="42">
        <v>0.1760935057445096</v>
      </c>
      <c r="E122" s="19">
        <f>VLOOKUP(B122,'[1]Atlas Brasil'!B$3:C$248,2,0)</f>
        <v>0.66900000000000004</v>
      </c>
      <c r="F122" s="16" t="s">
        <v>311</v>
      </c>
      <c r="G122" s="19">
        <v>52170</v>
      </c>
      <c r="H122" s="25">
        <v>10896.14</v>
      </c>
      <c r="I122" s="26">
        <v>0.05</v>
      </c>
      <c r="J122" s="19">
        <v>9.1300000000000008</v>
      </c>
      <c r="K122" s="26">
        <v>0.08</v>
      </c>
      <c r="L122" s="19">
        <v>77582</v>
      </c>
      <c r="M122" s="19">
        <v>4067</v>
      </c>
      <c r="N122" s="19" t="s">
        <v>248</v>
      </c>
      <c r="O122" s="49">
        <v>0</v>
      </c>
    </row>
    <row r="123" spans="1:15" ht="31.5" x14ac:dyDescent="0.25">
      <c r="A123" s="52"/>
      <c r="B123" s="32" t="s">
        <v>98</v>
      </c>
      <c r="C123" s="29" t="s">
        <v>422</v>
      </c>
      <c r="D123" s="42">
        <v>0.18859386152748467</v>
      </c>
      <c r="E123" s="19">
        <f>VLOOKUP(B123,'[1]Atlas Brasil'!B$3:C$248,2,0)</f>
        <v>0.66500000000000004</v>
      </c>
      <c r="F123" s="16" t="s">
        <v>325</v>
      </c>
      <c r="G123" s="19">
        <v>39995</v>
      </c>
      <c r="H123" s="25">
        <v>8320.5</v>
      </c>
      <c r="I123" s="26">
        <v>0.03</v>
      </c>
      <c r="J123" s="19">
        <v>8.1999999999999993</v>
      </c>
      <c r="K123" s="26">
        <v>0.06</v>
      </c>
      <c r="L123" s="19">
        <v>56808</v>
      </c>
      <c r="M123" s="19">
        <v>6440</v>
      </c>
      <c r="N123" s="21" t="s">
        <v>257</v>
      </c>
      <c r="O123" s="47" t="s">
        <v>419</v>
      </c>
    </row>
    <row r="124" spans="1:15" ht="31.5" x14ac:dyDescent="0.25">
      <c r="A124" s="52"/>
      <c r="B124" s="32" t="s">
        <v>14</v>
      </c>
      <c r="C124" s="29" t="s">
        <v>423</v>
      </c>
      <c r="D124" s="41">
        <v>0.14526982138451142</v>
      </c>
      <c r="E124" s="19">
        <f>VLOOKUP(B124,'[1]Atlas Brasil'!B$3:C$248,2,0)</f>
        <v>0.746</v>
      </c>
      <c r="F124" s="16" t="s">
        <v>349</v>
      </c>
      <c r="G124" s="19">
        <v>89350</v>
      </c>
      <c r="H124" s="25">
        <v>14699.68</v>
      </c>
      <c r="I124" s="26">
        <v>0.12</v>
      </c>
      <c r="J124" s="19">
        <v>3.43</v>
      </c>
      <c r="K124" s="26">
        <v>0.14000000000000001</v>
      </c>
      <c r="L124" s="19">
        <v>132982</v>
      </c>
      <c r="M124" s="19">
        <v>0</v>
      </c>
      <c r="N124" s="22">
        <v>0</v>
      </c>
      <c r="O124" s="47" t="s">
        <v>419</v>
      </c>
    </row>
    <row r="125" spans="1:15" ht="16.5" customHeight="1" x14ac:dyDescent="0.25">
      <c r="A125" s="52"/>
      <c r="B125" s="19" t="s">
        <v>99</v>
      </c>
      <c r="C125" s="21"/>
      <c r="D125" s="40">
        <v>0.12881944444444435</v>
      </c>
      <c r="E125" s="19">
        <f>VLOOKUP(B125,'[1]Atlas Brasil'!B$3:C$248,2,0)</f>
        <v>0.64700000000000002</v>
      </c>
      <c r="F125" s="16" t="s">
        <v>350</v>
      </c>
      <c r="G125" s="19">
        <v>3040</v>
      </c>
      <c r="H125" s="30">
        <v>23565</v>
      </c>
      <c r="I125" s="26">
        <v>0.01</v>
      </c>
      <c r="J125" s="19">
        <v>14.37</v>
      </c>
      <c r="K125" s="26">
        <v>0.01</v>
      </c>
      <c r="L125" s="19">
        <v>3502</v>
      </c>
      <c r="M125" s="19">
        <v>1233</v>
      </c>
      <c r="N125" s="21" t="s">
        <v>247</v>
      </c>
      <c r="O125" s="48">
        <v>0</v>
      </c>
    </row>
    <row r="126" spans="1:15" s="15" customFormat="1" x14ac:dyDescent="0.25">
      <c r="A126" s="69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2"/>
    </row>
    <row r="127" spans="1:15" ht="16.5" customHeight="1" x14ac:dyDescent="0.25">
      <c r="A127" s="50" t="s">
        <v>414</v>
      </c>
      <c r="B127" s="6" t="s">
        <v>149</v>
      </c>
      <c r="C127" s="7"/>
      <c r="D127" s="44">
        <v>8.1509539842873291E-2</v>
      </c>
      <c r="E127" s="6">
        <f>VLOOKUP(B127,'[1]Atlas Brasil'!B$3:C$248,2,0)</f>
        <v>0.72499999999999998</v>
      </c>
      <c r="F127" s="23" t="s">
        <v>301</v>
      </c>
      <c r="G127" s="6">
        <v>658</v>
      </c>
      <c r="H127" s="12">
        <v>14291.76</v>
      </c>
      <c r="I127" s="9">
        <v>0</v>
      </c>
      <c r="J127" s="6">
        <v>3.37</v>
      </c>
      <c r="K127" s="9">
        <v>0</v>
      </c>
      <c r="L127" s="6">
        <v>955</v>
      </c>
      <c r="M127" s="6">
        <v>65</v>
      </c>
      <c r="N127" s="24">
        <v>0</v>
      </c>
      <c r="O127" s="51">
        <v>0</v>
      </c>
    </row>
    <row r="128" spans="1:15" x14ac:dyDescent="0.25">
      <c r="A128" s="50"/>
      <c r="B128" s="6" t="s">
        <v>150</v>
      </c>
      <c r="C128" s="7"/>
      <c r="D128" s="44">
        <v>0.14210591437762973</v>
      </c>
      <c r="E128" s="6">
        <f>VLOOKUP(B128,'[1]Atlas Brasil'!B$3:C$248,2,0)</f>
        <v>0.69399999999999995</v>
      </c>
      <c r="F128" s="23" t="s">
        <v>284</v>
      </c>
      <c r="G128" s="6">
        <v>3936</v>
      </c>
      <c r="H128" s="12">
        <v>55960.2</v>
      </c>
      <c r="I128" s="9">
        <v>0.03</v>
      </c>
      <c r="J128" s="6">
        <v>9.8000000000000007</v>
      </c>
      <c r="K128" s="9">
        <v>0.03</v>
      </c>
      <c r="L128" s="6">
        <v>4481</v>
      </c>
      <c r="M128" s="6">
        <v>1579</v>
      </c>
      <c r="N128" s="24">
        <v>0</v>
      </c>
      <c r="O128" s="51">
        <v>0</v>
      </c>
    </row>
    <row r="129" spans="1:15" ht="31.5" x14ac:dyDescent="0.25">
      <c r="A129" s="50"/>
      <c r="B129" s="6" t="s">
        <v>15</v>
      </c>
      <c r="C129" s="14"/>
      <c r="D129" s="45">
        <v>0.11682790970389421</v>
      </c>
      <c r="E129" s="6">
        <f>VLOOKUP(B129,'[1]Atlas Brasil'!B$3:C$248,2,0)</f>
        <v>0.76600000000000001</v>
      </c>
      <c r="F129" s="23" t="s">
        <v>351</v>
      </c>
      <c r="G129" s="6">
        <v>59716</v>
      </c>
      <c r="H129" s="8">
        <v>58559.74</v>
      </c>
      <c r="I129" s="9">
        <v>0.49</v>
      </c>
      <c r="J129" s="6">
        <v>5.16</v>
      </c>
      <c r="K129" s="9">
        <v>0.38</v>
      </c>
      <c r="L129" s="6">
        <v>81064</v>
      </c>
      <c r="M129" s="6">
        <v>5583</v>
      </c>
      <c r="N129" s="7" t="s">
        <v>412</v>
      </c>
      <c r="O129" s="51">
        <v>0</v>
      </c>
    </row>
    <row r="130" spans="1:15" ht="16.5" customHeight="1" x14ac:dyDescent="0.25">
      <c r="A130" s="50"/>
      <c r="B130" s="6" t="s">
        <v>151</v>
      </c>
      <c r="C130" s="7"/>
      <c r="D130" s="44">
        <v>0.13293824992683656</v>
      </c>
      <c r="E130" s="6">
        <f>VLOOKUP(B130,'[1]Atlas Brasil'!B$3:C$248,2,0)</f>
        <v>0.69799999999999995</v>
      </c>
      <c r="F130" s="23" t="s">
        <v>352</v>
      </c>
      <c r="G130" s="6">
        <v>5359</v>
      </c>
      <c r="H130" s="10" t="s">
        <v>394</v>
      </c>
      <c r="I130" s="9">
        <v>0.04</v>
      </c>
      <c r="J130" s="6">
        <v>9.35</v>
      </c>
      <c r="K130" s="9">
        <v>0.03</v>
      </c>
      <c r="L130" s="6">
        <v>6307</v>
      </c>
      <c r="M130" s="6">
        <v>1874</v>
      </c>
      <c r="N130" s="24">
        <v>0</v>
      </c>
      <c r="O130" s="51">
        <v>0</v>
      </c>
    </row>
    <row r="131" spans="1:15" ht="16.5" customHeight="1" x14ac:dyDescent="0.25">
      <c r="A131" s="50"/>
      <c r="B131" s="6" t="s">
        <v>152</v>
      </c>
      <c r="C131" s="7"/>
      <c r="D131" s="44">
        <v>0.14189514189514219</v>
      </c>
      <c r="E131" s="6">
        <f>VLOOKUP(B131,'[1]Atlas Brasil'!B$3:C$248,2,0)</f>
        <v>0.68799999999999994</v>
      </c>
      <c r="F131" s="23" t="s">
        <v>315</v>
      </c>
      <c r="G131" s="6">
        <v>1869</v>
      </c>
      <c r="H131" s="12">
        <v>22427.18</v>
      </c>
      <c r="I131" s="9">
        <v>0.01</v>
      </c>
      <c r="J131" s="6">
        <v>6.73</v>
      </c>
      <c r="K131" s="9">
        <v>0.01</v>
      </c>
      <c r="L131" s="6">
        <v>2472</v>
      </c>
      <c r="M131" s="6">
        <v>460</v>
      </c>
      <c r="N131" s="24">
        <v>0</v>
      </c>
      <c r="O131" s="51">
        <v>0</v>
      </c>
    </row>
    <row r="132" spans="1:15" ht="16.5" customHeight="1" x14ac:dyDescent="0.25">
      <c r="A132" s="50"/>
      <c r="B132" s="6" t="s">
        <v>153</v>
      </c>
      <c r="C132" s="7"/>
      <c r="D132" s="44">
        <v>0.12195253505933108</v>
      </c>
      <c r="E132" s="6">
        <f>VLOOKUP(B132,'[1]Atlas Brasil'!B$3:C$248,2,0)</f>
        <v>0.73699999999999999</v>
      </c>
      <c r="F132" s="23" t="s">
        <v>292</v>
      </c>
      <c r="G132" s="6">
        <v>1840</v>
      </c>
      <c r="H132" s="12">
        <v>20105.8</v>
      </c>
      <c r="I132" s="9">
        <v>0</v>
      </c>
      <c r="J132" s="6">
        <v>8.09</v>
      </c>
      <c r="K132" s="9">
        <v>0.01</v>
      </c>
      <c r="L132" s="6">
        <v>2419</v>
      </c>
      <c r="M132" s="6">
        <v>545</v>
      </c>
      <c r="N132" s="24">
        <v>0</v>
      </c>
      <c r="O132" s="51">
        <v>0</v>
      </c>
    </row>
    <row r="133" spans="1:15" ht="16.5" customHeight="1" x14ac:dyDescent="0.25">
      <c r="A133" s="50"/>
      <c r="B133" s="6" t="s">
        <v>154</v>
      </c>
      <c r="C133" s="7"/>
      <c r="D133" s="44">
        <v>0.1446895424836602</v>
      </c>
      <c r="E133" s="6">
        <f>VLOOKUP(B133,'[1]Atlas Brasil'!B$3:C$248,2,0)</f>
        <v>0.71599999999999997</v>
      </c>
      <c r="F133" s="23" t="s">
        <v>279</v>
      </c>
      <c r="G133" s="6">
        <v>1325</v>
      </c>
      <c r="H133" s="12">
        <v>148316.37</v>
      </c>
      <c r="I133" s="9">
        <v>0.03</v>
      </c>
      <c r="J133" s="6">
        <v>13.53</v>
      </c>
      <c r="K133" s="9">
        <v>0.01</v>
      </c>
      <c r="L133" s="6">
        <v>1400</v>
      </c>
      <c r="M133" s="6">
        <v>656</v>
      </c>
      <c r="N133" s="7" t="s">
        <v>246</v>
      </c>
      <c r="O133" s="51">
        <v>0</v>
      </c>
    </row>
    <row r="134" spans="1:15" x14ac:dyDescent="0.25">
      <c r="A134" s="50"/>
      <c r="B134" s="6" t="s">
        <v>155</v>
      </c>
      <c r="C134" s="7"/>
      <c r="D134" s="44">
        <v>0.15402704291593156</v>
      </c>
      <c r="E134" s="6">
        <f>VLOOKUP(B134,'[1]Atlas Brasil'!B$3:C$248,2,0)</f>
        <v>0.65900000000000003</v>
      </c>
      <c r="F134" s="23" t="s">
        <v>338</v>
      </c>
      <c r="G134" s="6">
        <v>2048</v>
      </c>
      <c r="H134" s="12">
        <v>34753.160000000003</v>
      </c>
      <c r="I134" s="9">
        <v>0.01</v>
      </c>
      <c r="J134" s="6">
        <v>11.09</v>
      </c>
      <c r="K134" s="9">
        <v>0.02</v>
      </c>
      <c r="L134" s="6">
        <v>1094</v>
      </c>
      <c r="M134" s="6">
        <v>2181</v>
      </c>
      <c r="N134" s="24">
        <v>0</v>
      </c>
      <c r="O134" s="51">
        <v>0</v>
      </c>
    </row>
    <row r="135" spans="1:15" ht="16.5" customHeight="1" x14ac:dyDescent="0.25">
      <c r="A135" s="50"/>
      <c r="B135" s="6" t="s">
        <v>156</v>
      </c>
      <c r="C135" s="7"/>
      <c r="D135" s="44">
        <v>0.15238715277777834</v>
      </c>
      <c r="E135" s="6">
        <f>VLOOKUP(B135,'[1]Atlas Brasil'!B$3:C$248,2,0)</f>
        <v>0.76</v>
      </c>
      <c r="F135" s="23" t="s">
        <v>353</v>
      </c>
      <c r="G135" s="6">
        <v>3307</v>
      </c>
      <c r="H135" s="12">
        <v>20122.060000000001</v>
      </c>
      <c r="I135" s="9">
        <v>0.01</v>
      </c>
      <c r="J135" s="6">
        <v>7.71</v>
      </c>
      <c r="K135" s="9">
        <v>0.02</v>
      </c>
      <c r="L135" s="6">
        <v>4538</v>
      </c>
      <c r="M135" s="6">
        <v>727</v>
      </c>
      <c r="N135" s="24">
        <v>0</v>
      </c>
      <c r="O135" s="51">
        <v>0</v>
      </c>
    </row>
    <row r="136" spans="1:15" ht="16.5" customHeight="1" x14ac:dyDescent="0.25">
      <c r="A136" s="50"/>
      <c r="B136" s="6" t="s">
        <v>157</v>
      </c>
      <c r="C136" s="7"/>
      <c r="D136" s="44">
        <v>0.13531268464098062</v>
      </c>
      <c r="E136" s="6">
        <f>VLOOKUP(B136,'[1]Atlas Brasil'!B$3:C$248,2,0)</f>
        <v>0.70099999999999996</v>
      </c>
      <c r="F136" s="23" t="s">
        <v>290</v>
      </c>
      <c r="G136" s="6">
        <v>16082</v>
      </c>
      <c r="H136" s="12">
        <v>44237.45</v>
      </c>
      <c r="I136" s="9">
        <v>0.1</v>
      </c>
      <c r="J136" s="6">
        <v>9.0399999999999991</v>
      </c>
      <c r="K136" s="9">
        <v>0.09</v>
      </c>
      <c r="L136" s="6">
        <v>21336</v>
      </c>
      <c r="M136" s="6">
        <v>3399</v>
      </c>
      <c r="N136" s="24">
        <v>0</v>
      </c>
      <c r="O136" s="51">
        <v>0</v>
      </c>
    </row>
    <row r="137" spans="1:15" x14ac:dyDescent="0.25">
      <c r="A137" s="50"/>
      <c r="B137" s="6" t="s">
        <v>158</v>
      </c>
      <c r="C137" s="7"/>
      <c r="D137" s="43">
        <v>0.17533769063180754</v>
      </c>
      <c r="E137" s="6">
        <f>VLOOKUP(B137,'[1]Atlas Brasil'!B$3:C$248,2,0)</f>
        <v>0.65900000000000003</v>
      </c>
      <c r="F137" s="23" t="s">
        <v>338</v>
      </c>
      <c r="G137" s="6">
        <v>5149</v>
      </c>
      <c r="H137" s="12">
        <v>23784.36</v>
      </c>
      <c r="I137" s="9">
        <v>0.02</v>
      </c>
      <c r="J137" s="6">
        <v>12.45</v>
      </c>
      <c r="K137" s="9">
        <v>0.03</v>
      </c>
      <c r="L137" s="6">
        <v>4843</v>
      </c>
      <c r="M137" s="6">
        <v>3039</v>
      </c>
      <c r="N137" s="24">
        <v>0</v>
      </c>
      <c r="O137" s="51">
        <v>0</v>
      </c>
    </row>
    <row r="138" spans="1:15" ht="16.5" customHeight="1" x14ac:dyDescent="0.25">
      <c r="A138" s="50"/>
      <c r="B138" s="6" t="s">
        <v>159</v>
      </c>
      <c r="C138" s="7"/>
      <c r="D138" s="44">
        <v>0.12584053794428435</v>
      </c>
      <c r="E138" s="6">
        <f>VLOOKUP(B138,'[1]Atlas Brasil'!B$3:C$248,2,0)</f>
        <v>0.747</v>
      </c>
      <c r="F138" s="23" t="s">
        <v>354</v>
      </c>
      <c r="G138" s="6">
        <v>1308</v>
      </c>
      <c r="H138" s="10" t="s">
        <v>395</v>
      </c>
      <c r="I138" s="9">
        <v>0</v>
      </c>
      <c r="J138" s="6">
        <v>9.35</v>
      </c>
      <c r="K138" s="9">
        <v>0.01</v>
      </c>
      <c r="L138" s="6">
        <v>1873</v>
      </c>
      <c r="M138" s="6">
        <v>189</v>
      </c>
      <c r="N138" s="24">
        <v>0</v>
      </c>
      <c r="O138" s="51">
        <v>0</v>
      </c>
    </row>
    <row r="139" spans="1:15" ht="16.5" customHeight="1" x14ac:dyDescent="0.25">
      <c r="A139" s="50"/>
      <c r="B139" s="6" t="s">
        <v>160</v>
      </c>
      <c r="C139" s="7"/>
      <c r="D139" s="44">
        <v>0.13831896124492002</v>
      </c>
      <c r="E139" s="6">
        <f>VLOOKUP(B139,'[1]Atlas Brasil'!B$3:C$248,2,0)</f>
        <v>0.71499999999999997</v>
      </c>
      <c r="F139" s="23" t="s">
        <v>318</v>
      </c>
      <c r="G139" s="6">
        <v>9288</v>
      </c>
      <c r="H139" s="12">
        <v>30023.74</v>
      </c>
      <c r="I139" s="9">
        <v>0.04</v>
      </c>
      <c r="J139" s="6">
        <v>7.47</v>
      </c>
      <c r="K139" s="9">
        <v>0.05</v>
      </c>
      <c r="L139" s="6">
        <v>7975</v>
      </c>
      <c r="M139" s="6">
        <v>6325</v>
      </c>
      <c r="N139" s="24">
        <v>0</v>
      </c>
      <c r="O139" s="51">
        <v>0</v>
      </c>
    </row>
    <row r="140" spans="1:15" ht="16.5" customHeight="1" x14ac:dyDescent="0.25">
      <c r="A140" s="50"/>
      <c r="B140" s="6" t="s">
        <v>161</v>
      </c>
      <c r="C140" s="7"/>
      <c r="D140" s="44">
        <v>0.12717676067190556</v>
      </c>
      <c r="E140" s="6">
        <f>VLOOKUP(B140,'[1]Atlas Brasil'!B$3:C$248,2,0)</f>
        <v>0.747</v>
      </c>
      <c r="F140" s="23" t="s">
        <v>354</v>
      </c>
      <c r="G140" s="6">
        <v>3588</v>
      </c>
      <c r="H140" s="12">
        <v>95794.89</v>
      </c>
      <c r="I140" s="9">
        <v>0.05</v>
      </c>
      <c r="J140" s="6">
        <v>6.21</v>
      </c>
      <c r="K140" s="9">
        <v>0.02</v>
      </c>
      <c r="L140" s="6">
        <v>4810</v>
      </c>
      <c r="M140" s="6">
        <v>657</v>
      </c>
      <c r="N140" s="24">
        <v>0</v>
      </c>
      <c r="O140" s="51">
        <v>0</v>
      </c>
    </row>
    <row r="141" spans="1:15" ht="16.5" customHeight="1" x14ac:dyDescent="0.25">
      <c r="A141" s="50"/>
      <c r="B141" s="6" t="s">
        <v>162</v>
      </c>
      <c r="C141" s="7"/>
      <c r="D141" s="44">
        <v>0.11437571592210763</v>
      </c>
      <c r="E141" s="6">
        <f>VLOOKUP(B141,'[1]Atlas Brasil'!B$3:C$248,2,0)</f>
        <v>0.73</v>
      </c>
      <c r="F141" s="23" t="s">
        <v>355</v>
      </c>
      <c r="G141" s="6">
        <v>1415</v>
      </c>
      <c r="H141" s="12">
        <v>12224.33</v>
      </c>
      <c r="I141" s="9">
        <v>0</v>
      </c>
      <c r="J141" s="6">
        <v>9.68</v>
      </c>
      <c r="K141" s="9">
        <v>0.01</v>
      </c>
      <c r="L141" s="6">
        <v>2216</v>
      </c>
      <c r="M141" s="6">
        <v>119</v>
      </c>
      <c r="N141" s="24">
        <v>0</v>
      </c>
      <c r="O141" s="51">
        <v>0</v>
      </c>
    </row>
    <row r="142" spans="1:15" ht="16.5" customHeight="1" x14ac:dyDescent="0.25">
      <c r="A142" s="50"/>
      <c r="B142" s="6" t="s">
        <v>163</v>
      </c>
      <c r="C142" s="7"/>
      <c r="D142" s="43">
        <v>0.15906394675925603</v>
      </c>
      <c r="E142" s="6">
        <f>VLOOKUP(B142,'[1]Atlas Brasil'!B$3:C$248,2,0)</f>
        <v>0.74399999999999999</v>
      </c>
      <c r="F142" s="23" t="s">
        <v>348</v>
      </c>
      <c r="G142" s="6">
        <v>18784</v>
      </c>
      <c r="H142" s="12">
        <v>25487.599999999999</v>
      </c>
      <c r="I142" s="9">
        <v>7.0000000000000007E-2</v>
      </c>
      <c r="J142" s="6">
        <v>7.02</v>
      </c>
      <c r="K142" s="9">
        <v>0.11</v>
      </c>
      <c r="L142" s="6">
        <v>27094</v>
      </c>
      <c r="M142" s="6">
        <v>1668</v>
      </c>
      <c r="N142" s="24">
        <v>0</v>
      </c>
      <c r="O142" s="51">
        <v>0</v>
      </c>
    </row>
    <row r="143" spans="1:15" x14ac:dyDescent="0.25">
      <c r="A143" s="50"/>
      <c r="B143" s="6" t="s">
        <v>164</v>
      </c>
      <c r="C143" s="7"/>
      <c r="D143" s="44">
        <v>0.13701622971285887</v>
      </c>
      <c r="E143" s="6">
        <f>VLOOKUP(B143,'[1]Atlas Brasil'!B$3:C$248,2,0)</f>
        <v>0.68799999999999994</v>
      </c>
      <c r="F143" s="23" t="s">
        <v>315</v>
      </c>
      <c r="G143" s="6">
        <v>1987</v>
      </c>
      <c r="H143" s="12">
        <v>34771</v>
      </c>
      <c r="I143" s="9">
        <v>0.01</v>
      </c>
      <c r="J143" s="6">
        <v>13.14</v>
      </c>
      <c r="K143" s="9">
        <v>0.01</v>
      </c>
      <c r="L143" s="6">
        <v>981</v>
      </c>
      <c r="M143" s="6">
        <v>2161</v>
      </c>
      <c r="N143" s="24">
        <v>0</v>
      </c>
      <c r="O143" s="51">
        <v>0</v>
      </c>
    </row>
    <row r="144" spans="1:15" x14ac:dyDescent="0.25">
      <c r="A144" s="50"/>
      <c r="B144" s="6" t="s">
        <v>165</v>
      </c>
      <c r="C144" s="7"/>
      <c r="D144" s="43">
        <v>0.17041479260369874</v>
      </c>
      <c r="E144" s="6">
        <f>VLOOKUP(B144,'[1]Atlas Brasil'!B$3:C$248,2,0)</f>
        <v>0.69699999999999995</v>
      </c>
      <c r="F144" s="23" t="s">
        <v>285</v>
      </c>
      <c r="G144" s="6">
        <v>2423</v>
      </c>
      <c r="H144" s="12">
        <v>32025.88</v>
      </c>
      <c r="I144" s="9">
        <v>0.01</v>
      </c>
      <c r="J144" s="6">
        <v>11.5</v>
      </c>
      <c r="K144" s="9">
        <v>0.01</v>
      </c>
      <c r="L144" s="6">
        <v>2074</v>
      </c>
      <c r="M144" s="6">
        <v>1683</v>
      </c>
      <c r="N144" s="24">
        <v>0</v>
      </c>
      <c r="O144" s="51">
        <v>0</v>
      </c>
    </row>
    <row r="145" spans="1:15" ht="16.5" customHeight="1" x14ac:dyDescent="0.25">
      <c r="A145" s="50"/>
      <c r="B145" s="6" t="s">
        <v>166</v>
      </c>
      <c r="C145" s="7"/>
      <c r="D145" s="43">
        <v>0.15720852895148757</v>
      </c>
      <c r="E145" s="6">
        <f>VLOOKUP(B145,'[1]Atlas Brasil'!B$3:C$248,2,0)</f>
        <v>0.70899999999999996</v>
      </c>
      <c r="F145" s="23" t="s">
        <v>356</v>
      </c>
      <c r="G145" s="6">
        <v>12462</v>
      </c>
      <c r="H145" s="12">
        <v>30457.89</v>
      </c>
      <c r="I145" s="9">
        <v>0.05</v>
      </c>
      <c r="J145" s="6">
        <v>7.67</v>
      </c>
      <c r="K145" s="9">
        <v>7.0000000000000007E-2</v>
      </c>
      <c r="L145" s="6">
        <v>12669</v>
      </c>
      <c r="M145" s="6">
        <v>6420</v>
      </c>
      <c r="N145" s="24">
        <v>0</v>
      </c>
      <c r="O145" s="51">
        <v>0</v>
      </c>
    </row>
    <row r="146" spans="1:15" ht="16.5" customHeight="1" x14ac:dyDescent="0.25">
      <c r="A146" s="50"/>
      <c r="B146" s="6" t="s">
        <v>167</v>
      </c>
      <c r="C146" s="7"/>
      <c r="D146" s="43">
        <v>0.16527042915931814</v>
      </c>
      <c r="E146" s="6">
        <f>VLOOKUP(B146,'[1]Atlas Brasil'!B$3:C$248,2,0)</f>
        <v>0.745</v>
      </c>
      <c r="F146" s="23" t="s">
        <v>357</v>
      </c>
      <c r="G146" s="6">
        <v>1828</v>
      </c>
      <c r="H146" s="12">
        <v>15079.68</v>
      </c>
      <c r="I146" s="9">
        <v>0</v>
      </c>
      <c r="J146" s="6">
        <v>5.85</v>
      </c>
      <c r="K146" s="9">
        <v>0.01</v>
      </c>
      <c r="L146" s="6">
        <v>2488</v>
      </c>
      <c r="M146" s="6">
        <v>331</v>
      </c>
      <c r="N146" s="24">
        <v>0</v>
      </c>
      <c r="O146" s="51">
        <v>0</v>
      </c>
    </row>
    <row r="147" spans="1:15" ht="16.5" customHeight="1" x14ac:dyDescent="0.25">
      <c r="A147" s="50"/>
      <c r="B147" s="6" t="s">
        <v>168</v>
      </c>
      <c r="C147" s="7"/>
      <c r="D147" s="44">
        <v>9.5977011494252862E-2</v>
      </c>
      <c r="E147" s="6">
        <f>VLOOKUP(B147,'[1]Atlas Brasil'!B$3:C$248,2,0)</f>
        <v>0.73199999999999998</v>
      </c>
      <c r="F147" s="23" t="s">
        <v>358</v>
      </c>
      <c r="G147" s="6">
        <v>1975</v>
      </c>
      <c r="H147" s="12">
        <v>26598.5</v>
      </c>
      <c r="I147" s="9">
        <v>0.01</v>
      </c>
      <c r="J147" s="6">
        <v>7.94</v>
      </c>
      <c r="K147" s="9">
        <v>0.01</v>
      </c>
      <c r="L147" s="6">
        <v>2162</v>
      </c>
      <c r="M147" s="6">
        <v>912</v>
      </c>
      <c r="N147" s="24">
        <v>0</v>
      </c>
      <c r="O147" s="51">
        <v>0</v>
      </c>
    </row>
    <row r="148" spans="1:15" ht="15.75" customHeight="1" x14ac:dyDescent="0.25">
      <c r="A148" s="50"/>
      <c r="B148" s="6" t="s">
        <v>169</v>
      </c>
      <c r="C148" s="7"/>
      <c r="D148" s="44">
        <v>0.15274402592142425</v>
      </c>
      <c r="E148" s="6">
        <f>VLOOKUP(B148,'[1]Atlas Brasil'!B$3:C$248,2,0)</f>
        <v>0.71199999999999997</v>
      </c>
      <c r="F148" s="23" t="s">
        <v>307</v>
      </c>
      <c r="G148" s="6">
        <v>8219</v>
      </c>
      <c r="H148" s="12">
        <v>27534.21</v>
      </c>
      <c r="I148" s="9">
        <v>0.03</v>
      </c>
      <c r="J148" s="6">
        <v>7.25</v>
      </c>
      <c r="K148" s="9">
        <v>0.05</v>
      </c>
      <c r="L148" s="6">
        <v>9170</v>
      </c>
      <c r="M148" s="6">
        <v>3378</v>
      </c>
      <c r="N148" s="24">
        <v>0</v>
      </c>
      <c r="O148" s="51">
        <v>0</v>
      </c>
    </row>
    <row r="149" spans="1:15" s="15" customFormat="1" ht="15.75" customHeight="1" x14ac:dyDescent="0.25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2"/>
    </row>
    <row r="150" spans="1:15" ht="16.5" customHeight="1" x14ac:dyDescent="0.25">
      <c r="A150" s="52" t="s">
        <v>413</v>
      </c>
      <c r="B150" s="4" t="s">
        <v>100</v>
      </c>
      <c r="C150" s="21"/>
      <c r="D150" s="40">
        <v>0.14673287276914218</v>
      </c>
      <c r="E150" s="19">
        <f>VLOOKUP(B150,'[1]Atlas Brasil'!B$3:C$248,2,0)</f>
        <v>0.72199999999999998</v>
      </c>
      <c r="F150" s="16" t="s">
        <v>359</v>
      </c>
      <c r="G150" s="19">
        <v>1283</v>
      </c>
      <c r="H150" s="30">
        <v>22038.95</v>
      </c>
      <c r="I150" s="26">
        <v>0</v>
      </c>
      <c r="J150" s="19">
        <v>9.3000000000000007</v>
      </c>
      <c r="K150" s="26">
        <v>0</v>
      </c>
      <c r="L150" s="19">
        <v>1426</v>
      </c>
      <c r="M150" s="19">
        <v>587</v>
      </c>
      <c r="N150" s="22">
        <v>0</v>
      </c>
      <c r="O150" s="48">
        <v>0</v>
      </c>
    </row>
    <row r="151" spans="1:15" ht="16.5" customHeight="1" x14ac:dyDescent="0.25">
      <c r="A151" s="52"/>
      <c r="B151" s="4" t="s">
        <v>101</v>
      </c>
      <c r="C151" s="21"/>
      <c r="D151" s="40">
        <v>0.14362454057110566</v>
      </c>
      <c r="E151" s="19">
        <f>VLOOKUP(B151,'[1]Atlas Brasil'!B$3:C$248,2,0)</f>
        <v>0.69699999999999995</v>
      </c>
      <c r="F151" s="16" t="s">
        <v>285</v>
      </c>
      <c r="G151" s="19">
        <v>1290</v>
      </c>
      <c r="H151" s="27" t="s">
        <v>396</v>
      </c>
      <c r="I151" s="26">
        <v>0</v>
      </c>
      <c r="J151" s="19">
        <v>13.77</v>
      </c>
      <c r="K151" s="26">
        <v>0</v>
      </c>
      <c r="L151" s="19">
        <v>1769</v>
      </c>
      <c r="M151" s="19">
        <v>282</v>
      </c>
      <c r="N151" s="22">
        <v>0</v>
      </c>
      <c r="O151" s="48">
        <v>0</v>
      </c>
    </row>
    <row r="152" spans="1:15" x14ac:dyDescent="0.25">
      <c r="A152" s="52"/>
      <c r="B152" s="4" t="s">
        <v>102</v>
      </c>
      <c r="C152" s="21"/>
      <c r="D152" s="19">
        <v>0.13900000000000001</v>
      </c>
      <c r="E152" s="19">
        <f>VLOOKUP(B152,'[1]Atlas Brasil'!B$3:C$248,2,0)</f>
        <v>0.70099999999999996</v>
      </c>
      <c r="F152" s="16" t="s">
        <v>290</v>
      </c>
      <c r="G152" s="19">
        <v>13794</v>
      </c>
      <c r="H152" s="27" t="s">
        <v>397</v>
      </c>
      <c r="I152" s="26">
        <v>0.05</v>
      </c>
      <c r="J152" s="19">
        <v>10.119999999999999</v>
      </c>
      <c r="K152" s="26">
        <v>0.06</v>
      </c>
      <c r="L152" s="19">
        <v>19253</v>
      </c>
      <c r="M152" s="19">
        <v>1474</v>
      </c>
      <c r="N152" s="22">
        <v>0</v>
      </c>
      <c r="O152" s="48">
        <v>0</v>
      </c>
    </row>
    <row r="153" spans="1:15" ht="16.5" customHeight="1" x14ac:dyDescent="0.25">
      <c r="A153" s="52"/>
      <c r="B153" s="4" t="s">
        <v>103</v>
      </c>
      <c r="C153" s="21"/>
      <c r="D153" s="40">
        <v>0.13532187394674794</v>
      </c>
      <c r="E153" s="19">
        <f>VLOOKUP(B153,'[1]Atlas Brasil'!B$3:C$248,2,0)</f>
        <v>0.71</v>
      </c>
      <c r="F153" s="16" t="s">
        <v>360</v>
      </c>
      <c r="G153" s="19">
        <v>5636</v>
      </c>
      <c r="H153" s="27" t="s">
        <v>398</v>
      </c>
      <c r="I153" s="26">
        <v>0.02</v>
      </c>
      <c r="J153" s="19">
        <v>9.2799999999999994</v>
      </c>
      <c r="K153" s="26">
        <v>0.02</v>
      </c>
      <c r="L153" s="19">
        <v>8412</v>
      </c>
      <c r="M153" s="19">
        <v>642</v>
      </c>
      <c r="N153" s="21" t="s">
        <v>252</v>
      </c>
      <c r="O153" s="48">
        <v>0</v>
      </c>
    </row>
    <row r="154" spans="1:15" x14ac:dyDescent="0.25">
      <c r="A154" s="52"/>
      <c r="B154" s="4" t="s">
        <v>104</v>
      </c>
      <c r="C154" s="21"/>
      <c r="D154" s="40">
        <v>0.14816827697262366</v>
      </c>
      <c r="E154" s="19">
        <f>VLOOKUP(B154,'[1]Atlas Brasil'!B$3:C$248,2,0)</f>
        <v>0.69799999999999995</v>
      </c>
      <c r="F154" s="16" t="s">
        <v>352</v>
      </c>
      <c r="G154" s="19">
        <v>5292</v>
      </c>
      <c r="H154" s="30">
        <v>114807.73</v>
      </c>
      <c r="I154" s="26">
        <v>0.06</v>
      </c>
      <c r="J154" s="19">
        <v>13.7</v>
      </c>
      <c r="K154" s="26">
        <v>0.02</v>
      </c>
      <c r="L154" s="19">
        <v>5357</v>
      </c>
      <c r="M154" s="19">
        <v>2897</v>
      </c>
      <c r="N154" s="22">
        <v>0</v>
      </c>
      <c r="O154" s="48">
        <v>0</v>
      </c>
    </row>
    <row r="155" spans="1:15" ht="16.5" customHeight="1" x14ac:dyDescent="0.25">
      <c r="A155" s="52"/>
      <c r="B155" s="4" t="s">
        <v>105</v>
      </c>
      <c r="C155" s="21"/>
      <c r="D155" s="40">
        <v>0.11301010611893288</v>
      </c>
      <c r="E155" s="19">
        <f>VLOOKUP(B155,'[1]Atlas Brasil'!B$3:C$248,2,0)</f>
        <v>0.73299999999999998</v>
      </c>
      <c r="F155" s="16" t="s">
        <v>361</v>
      </c>
      <c r="G155" s="19">
        <v>46824</v>
      </c>
      <c r="H155" s="30">
        <v>26695.200000000001</v>
      </c>
      <c r="I155" s="26">
        <v>0.14000000000000001</v>
      </c>
      <c r="J155" s="19">
        <v>5.1100000000000003</v>
      </c>
      <c r="K155" s="26">
        <v>0.2</v>
      </c>
      <c r="L155" s="19">
        <v>67714</v>
      </c>
      <c r="M155" s="19">
        <v>2759</v>
      </c>
      <c r="N155" s="22">
        <v>0</v>
      </c>
      <c r="O155" s="48">
        <v>0</v>
      </c>
    </row>
    <row r="156" spans="1:15" ht="16.5" customHeight="1" x14ac:dyDescent="0.25">
      <c r="A156" s="52"/>
      <c r="B156" s="4" t="s">
        <v>106</v>
      </c>
      <c r="C156" s="21"/>
      <c r="D156" s="39">
        <v>0.15811735061195112</v>
      </c>
      <c r="E156" s="19">
        <f>VLOOKUP(B156,'[1]Atlas Brasil'!B$3:C$248,2,0)</f>
        <v>0.71099999999999997</v>
      </c>
      <c r="F156" s="16" t="s">
        <v>362</v>
      </c>
      <c r="G156" s="19">
        <v>5024</v>
      </c>
      <c r="H156" s="30">
        <v>32385.23</v>
      </c>
      <c r="I156" s="26">
        <v>0.02</v>
      </c>
      <c r="J156" s="19">
        <v>9.94</v>
      </c>
      <c r="K156" s="26">
        <v>0.02</v>
      </c>
      <c r="L156" s="19">
        <v>5595</v>
      </c>
      <c r="M156" s="19">
        <v>1950</v>
      </c>
      <c r="N156" s="22">
        <v>0</v>
      </c>
      <c r="O156" s="48">
        <v>0</v>
      </c>
    </row>
    <row r="157" spans="1:15" ht="16.5" customHeight="1" x14ac:dyDescent="0.25">
      <c r="A157" s="52"/>
      <c r="B157" s="4" t="s">
        <v>107</v>
      </c>
      <c r="C157" s="21"/>
      <c r="D157" s="39">
        <v>0.15782677791021094</v>
      </c>
      <c r="E157" s="19">
        <f>VLOOKUP(B157,'[1]Atlas Brasil'!B$3:C$248,2,0)</f>
        <v>0.70599999999999996</v>
      </c>
      <c r="F157" s="16" t="s">
        <v>286</v>
      </c>
      <c r="G157" s="19">
        <v>2252</v>
      </c>
      <c r="H157" s="30">
        <v>17814.810000000001</v>
      </c>
      <c r="I157" s="26">
        <v>0</v>
      </c>
      <c r="J157" s="19">
        <v>10.16</v>
      </c>
      <c r="K157" s="26">
        <v>0.01</v>
      </c>
      <c r="L157" s="19">
        <v>2675</v>
      </c>
      <c r="M157" s="19">
        <v>880</v>
      </c>
      <c r="N157" s="22">
        <v>0</v>
      </c>
      <c r="O157" s="48">
        <v>0</v>
      </c>
    </row>
    <row r="158" spans="1:15" ht="16.5" customHeight="1" x14ac:dyDescent="0.25">
      <c r="A158" s="52"/>
      <c r="B158" s="4" t="s">
        <v>108</v>
      </c>
      <c r="C158" s="21"/>
      <c r="D158" s="40">
        <v>0.15061555243883473</v>
      </c>
      <c r="E158" s="19">
        <f>VLOOKUP(B158,'[1]Atlas Brasil'!B$3:C$248,2,0)</f>
        <v>0.70199999999999996</v>
      </c>
      <c r="F158" s="16" t="s">
        <v>363</v>
      </c>
      <c r="G158" s="19">
        <v>2351</v>
      </c>
      <c r="H158" s="30">
        <v>63109.02</v>
      </c>
      <c r="I158" s="26">
        <v>0.02</v>
      </c>
      <c r="J158" s="19">
        <v>10.69</v>
      </c>
      <c r="K158" s="26">
        <v>0.03</v>
      </c>
      <c r="L158" s="19">
        <v>2569</v>
      </c>
      <c r="M158" s="19">
        <v>1164</v>
      </c>
      <c r="N158" s="22">
        <v>0</v>
      </c>
      <c r="O158" s="48">
        <v>0</v>
      </c>
    </row>
    <row r="159" spans="1:15" ht="16.5" customHeight="1" x14ac:dyDescent="0.25">
      <c r="A159" s="52"/>
      <c r="B159" s="4" t="s">
        <v>109</v>
      </c>
      <c r="C159" s="21"/>
      <c r="D159" s="39">
        <v>0.19323197645904841</v>
      </c>
      <c r="E159" s="19">
        <f>VLOOKUP(B159,'[1]Atlas Brasil'!B$3:C$248,2,0)</f>
        <v>0.73899999999999999</v>
      </c>
      <c r="F159" s="16" t="s">
        <v>364</v>
      </c>
      <c r="G159" s="19">
        <v>7475</v>
      </c>
      <c r="H159" s="30">
        <v>58818.79</v>
      </c>
      <c r="I159" s="26">
        <v>0.05</v>
      </c>
      <c r="J159" s="19">
        <v>11.31</v>
      </c>
      <c r="K159" s="26">
        <v>0.01</v>
      </c>
      <c r="L159" s="19">
        <v>9538</v>
      </c>
      <c r="M159" s="19">
        <v>1728</v>
      </c>
      <c r="N159" s="22">
        <v>0</v>
      </c>
      <c r="O159" s="48">
        <v>0</v>
      </c>
    </row>
    <row r="160" spans="1:15" ht="15.75" customHeight="1" x14ac:dyDescent="0.25">
      <c r="A160" s="52"/>
      <c r="B160" s="31" t="s">
        <v>16</v>
      </c>
      <c r="C160" s="29"/>
      <c r="D160" s="40">
        <v>0.13087112872449524</v>
      </c>
      <c r="E160" s="19">
        <f>VLOOKUP(B160,'[1]Atlas Brasil'!B$3:C$248,2,0)</f>
        <v>0.72499999999999998</v>
      </c>
      <c r="F160" s="16" t="s">
        <v>301</v>
      </c>
      <c r="G160" s="19">
        <v>21178</v>
      </c>
      <c r="H160" s="25">
        <v>43031.23</v>
      </c>
      <c r="I160" s="26">
        <v>0.09</v>
      </c>
      <c r="J160" s="19">
        <v>8.65</v>
      </c>
      <c r="K160" s="26">
        <v>0.08</v>
      </c>
      <c r="L160" s="19">
        <v>29941</v>
      </c>
      <c r="M160" s="19">
        <v>2551</v>
      </c>
      <c r="N160" s="22">
        <v>0</v>
      </c>
      <c r="O160" s="48">
        <v>0</v>
      </c>
    </row>
    <row r="161" spans="1:15" ht="16.5" customHeight="1" x14ac:dyDescent="0.25">
      <c r="A161" s="52"/>
      <c r="B161" s="4" t="s">
        <v>110</v>
      </c>
      <c r="C161" s="21"/>
      <c r="D161" s="40">
        <v>0.15015873015873005</v>
      </c>
      <c r="E161" s="19">
        <f>VLOOKUP(B161,'[1]Atlas Brasil'!B$3:C$248,2,0)</f>
        <v>0.69199999999999995</v>
      </c>
      <c r="F161" s="16" t="s">
        <v>331</v>
      </c>
      <c r="G161" s="19">
        <v>3669</v>
      </c>
      <c r="H161" s="27" t="s">
        <v>399</v>
      </c>
      <c r="I161" s="26">
        <v>0.01</v>
      </c>
      <c r="J161" s="19">
        <v>17.690000000000001</v>
      </c>
      <c r="K161" s="26">
        <v>0.01</v>
      </c>
      <c r="L161" s="19">
        <v>4815</v>
      </c>
      <c r="M161" s="19">
        <v>884</v>
      </c>
      <c r="N161" s="22">
        <v>0</v>
      </c>
      <c r="O161" s="48">
        <v>0</v>
      </c>
    </row>
    <row r="162" spans="1:15" ht="16.5" customHeight="1" x14ac:dyDescent="0.25">
      <c r="A162" s="52"/>
      <c r="B162" s="4" t="s">
        <v>111</v>
      </c>
      <c r="C162" s="21"/>
      <c r="D162" s="40">
        <v>0.1429052537045348</v>
      </c>
      <c r="E162" s="19">
        <f>VLOOKUP(B162,'[1]Atlas Brasil'!B$3:C$248,2,0)</f>
        <v>0.70099999999999996</v>
      </c>
      <c r="F162" s="16" t="s">
        <v>290</v>
      </c>
      <c r="G162" s="19">
        <v>8986</v>
      </c>
      <c r="H162" s="30">
        <v>21966.959999999999</v>
      </c>
      <c r="I162" s="26">
        <v>0.02</v>
      </c>
      <c r="J162" s="19">
        <v>11.18</v>
      </c>
      <c r="K162" s="26">
        <v>0.03</v>
      </c>
      <c r="L162" s="19">
        <v>11654</v>
      </c>
      <c r="M162" s="19">
        <v>2033</v>
      </c>
      <c r="N162" s="22">
        <v>0</v>
      </c>
      <c r="O162" s="48">
        <v>0</v>
      </c>
    </row>
    <row r="163" spans="1:15" ht="16.5" customHeight="1" x14ac:dyDescent="0.25">
      <c r="A163" s="52"/>
      <c r="B163" s="4" t="s">
        <v>112</v>
      </c>
      <c r="C163" s="21"/>
      <c r="D163" s="40">
        <v>0.11083126291169611</v>
      </c>
      <c r="E163" s="19">
        <f>VLOOKUP(B163,'[1]Atlas Brasil'!B$3:C$248,2,0)</f>
        <v>0.752</v>
      </c>
      <c r="F163" s="16" t="s">
        <v>365</v>
      </c>
      <c r="G163" s="19">
        <v>62273</v>
      </c>
      <c r="H163" s="30">
        <v>40477.15</v>
      </c>
      <c r="I163" s="26">
        <v>0.26</v>
      </c>
      <c r="J163" s="19">
        <v>7.26</v>
      </c>
      <c r="K163" s="26">
        <v>0.23</v>
      </c>
      <c r="L163" s="19">
        <v>88942</v>
      </c>
      <c r="M163" s="19">
        <v>3941</v>
      </c>
      <c r="N163" s="22">
        <v>0</v>
      </c>
      <c r="O163" s="48">
        <v>0</v>
      </c>
    </row>
    <row r="164" spans="1:15" ht="16.5" customHeight="1" x14ac:dyDescent="0.25">
      <c r="A164" s="52"/>
      <c r="B164" s="4" t="s">
        <v>113</v>
      </c>
      <c r="C164" s="21"/>
      <c r="D164" s="40">
        <v>0.13024418223533304</v>
      </c>
      <c r="E164" s="19">
        <f>VLOOKUP(B164,'[1]Atlas Brasil'!B$3:C$248,2,0)</f>
        <v>0.70599999999999996</v>
      </c>
      <c r="F164" s="16" t="s">
        <v>286</v>
      </c>
      <c r="G164" s="19">
        <v>4729</v>
      </c>
      <c r="H164" s="30">
        <v>28443.11</v>
      </c>
      <c r="I164" s="26">
        <v>0.01</v>
      </c>
      <c r="J164" s="19">
        <v>10.35</v>
      </c>
      <c r="K164" s="26">
        <v>0.02</v>
      </c>
      <c r="L164" s="19">
        <v>6472</v>
      </c>
      <c r="M164" s="19">
        <v>646</v>
      </c>
      <c r="N164" s="22">
        <v>0</v>
      </c>
      <c r="O164" s="48">
        <v>0</v>
      </c>
    </row>
    <row r="165" spans="1:15" ht="16.5" customHeight="1" x14ac:dyDescent="0.25">
      <c r="A165" s="52"/>
      <c r="B165" s="4" t="s">
        <v>114</v>
      </c>
      <c r="C165" s="21"/>
      <c r="D165" s="39">
        <v>0.15902410346854828</v>
      </c>
      <c r="E165" s="19">
        <f>VLOOKUP(B165,'[1]Atlas Brasil'!B$3:C$248,2,0)</f>
        <v>0.745</v>
      </c>
      <c r="F165" s="16" t="s">
        <v>357</v>
      </c>
      <c r="G165" s="19">
        <v>1565</v>
      </c>
      <c r="H165" s="30">
        <v>23085.43</v>
      </c>
      <c r="I165" s="26">
        <v>0</v>
      </c>
      <c r="J165" s="19">
        <v>10.66</v>
      </c>
      <c r="K165" s="26">
        <v>0.01</v>
      </c>
      <c r="L165" s="19">
        <v>1570</v>
      </c>
      <c r="M165" s="19">
        <v>804</v>
      </c>
      <c r="N165" s="22">
        <v>0</v>
      </c>
      <c r="O165" s="48">
        <v>0</v>
      </c>
    </row>
    <row r="166" spans="1:15" ht="16.5" customHeight="1" x14ac:dyDescent="0.25">
      <c r="A166" s="52"/>
      <c r="B166" s="4" t="s">
        <v>115</v>
      </c>
      <c r="C166" s="21"/>
      <c r="D166" s="40">
        <v>0.12802197802197796</v>
      </c>
      <c r="E166" s="19">
        <f>VLOOKUP(B166,'[1]Atlas Brasil'!B$3:C$248,2,0)</f>
        <v>0.69899999999999995</v>
      </c>
      <c r="F166" s="16" t="s">
        <v>291</v>
      </c>
      <c r="G166" s="19">
        <v>1284</v>
      </c>
      <c r="H166" s="27" t="s">
        <v>400</v>
      </c>
      <c r="I166" s="26">
        <v>0</v>
      </c>
      <c r="J166" s="19">
        <v>9.51</v>
      </c>
      <c r="K166" s="26">
        <v>0</v>
      </c>
      <c r="L166" s="19">
        <v>1804</v>
      </c>
      <c r="M166" s="19">
        <v>268</v>
      </c>
      <c r="N166" s="22">
        <v>0</v>
      </c>
      <c r="O166" s="48">
        <v>0</v>
      </c>
    </row>
    <row r="167" spans="1:15" ht="16.5" customHeight="1" x14ac:dyDescent="0.25">
      <c r="A167" s="52"/>
      <c r="B167" s="4" t="s">
        <v>116</v>
      </c>
      <c r="C167" s="21"/>
      <c r="D167" s="40">
        <v>0.13358876117496593</v>
      </c>
      <c r="E167" s="19">
        <f>VLOOKUP(B167,'[1]Atlas Brasil'!B$3:C$248,2,0)</f>
        <v>0.73399999999999999</v>
      </c>
      <c r="F167" s="16" t="s">
        <v>366</v>
      </c>
      <c r="G167" s="19">
        <v>27157</v>
      </c>
      <c r="H167" s="30">
        <v>27621.32</v>
      </c>
      <c r="I167" s="26">
        <v>0.08</v>
      </c>
      <c r="J167" s="19">
        <v>7.44</v>
      </c>
      <c r="K167" s="26">
        <v>0.1</v>
      </c>
      <c r="L167" s="19">
        <v>35959</v>
      </c>
      <c r="M167" s="19">
        <v>5501</v>
      </c>
      <c r="N167" s="22">
        <v>0</v>
      </c>
      <c r="O167" s="48">
        <v>0</v>
      </c>
    </row>
    <row r="168" spans="1:15" ht="16.5" customHeight="1" x14ac:dyDescent="0.25">
      <c r="A168" s="52"/>
      <c r="B168" s="4" t="s">
        <v>117</v>
      </c>
      <c r="C168" s="21"/>
      <c r="D168" s="39">
        <v>0.15672514619883041</v>
      </c>
      <c r="E168" s="19">
        <f>VLOOKUP(B168,'[1]Atlas Brasil'!B$3:C$248,2,0)</f>
        <v>0.68600000000000005</v>
      </c>
      <c r="F168" s="16" t="s">
        <v>343</v>
      </c>
      <c r="G168" s="19">
        <v>1669</v>
      </c>
      <c r="H168" s="30">
        <v>30242.79</v>
      </c>
      <c r="I168" s="26">
        <v>0.01</v>
      </c>
      <c r="J168" s="19">
        <v>14.35</v>
      </c>
      <c r="K168" s="26">
        <v>0.01</v>
      </c>
      <c r="L168" s="19">
        <v>2035</v>
      </c>
      <c r="M168" s="19">
        <v>647</v>
      </c>
      <c r="N168" s="22">
        <v>0</v>
      </c>
      <c r="O168" s="48">
        <v>0</v>
      </c>
    </row>
    <row r="169" spans="1:15" ht="15.75" customHeight="1" x14ac:dyDescent="0.25">
      <c r="A169" s="52"/>
      <c r="B169" s="31" t="s">
        <v>17</v>
      </c>
      <c r="C169" s="29"/>
      <c r="D169" s="40">
        <v>0.14494869072894523</v>
      </c>
      <c r="E169" s="19">
        <f>VLOOKUP(B169,'[1]Atlas Brasil'!B$3:C$248,2,0)</f>
        <v>0.72099999999999997</v>
      </c>
      <c r="F169" s="16" t="s">
        <v>288</v>
      </c>
      <c r="G169" s="19">
        <v>15439</v>
      </c>
      <c r="H169" s="25">
        <v>29862.240000000002</v>
      </c>
      <c r="I169" s="26">
        <v>0.05</v>
      </c>
      <c r="J169" s="19">
        <v>9.1999999999999993</v>
      </c>
      <c r="K169" s="26">
        <v>0.05</v>
      </c>
      <c r="L169" s="19">
        <v>17551</v>
      </c>
      <c r="M169" s="19">
        <v>6475</v>
      </c>
      <c r="N169" s="22">
        <v>0</v>
      </c>
      <c r="O169" s="48">
        <v>0</v>
      </c>
    </row>
    <row r="170" spans="1:15" ht="16.5" customHeight="1" x14ac:dyDescent="0.25">
      <c r="A170" s="52"/>
      <c r="B170" s="4" t="s">
        <v>118</v>
      </c>
      <c r="C170" s="21"/>
      <c r="D170" s="40">
        <v>0.14814814814814786</v>
      </c>
      <c r="E170" s="19">
        <f>VLOOKUP(B170,'[1]Atlas Brasil'!B$3:C$248,2,0)</f>
        <v>0.68700000000000006</v>
      </c>
      <c r="F170" s="16" t="s">
        <v>367</v>
      </c>
      <c r="G170" s="19">
        <v>10939</v>
      </c>
      <c r="H170" s="30">
        <v>24999.87</v>
      </c>
      <c r="I170" s="26">
        <v>0.03</v>
      </c>
      <c r="J170" s="19">
        <v>13.01</v>
      </c>
      <c r="K170" s="26">
        <v>0.04</v>
      </c>
      <c r="L170" s="19">
        <v>13897</v>
      </c>
      <c r="M170" s="19">
        <v>3224</v>
      </c>
      <c r="N170" s="21" t="s">
        <v>251</v>
      </c>
      <c r="O170" s="48">
        <v>0</v>
      </c>
    </row>
    <row r="171" spans="1:15" ht="16.5" customHeight="1" x14ac:dyDescent="0.25">
      <c r="A171" s="52"/>
      <c r="B171" s="4" t="s">
        <v>119</v>
      </c>
      <c r="C171" s="21"/>
      <c r="D171" s="40">
        <v>0.15377379371403305</v>
      </c>
      <c r="E171" s="19">
        <f>VLOOKUP(B171,'[1]Atlas Brasil'!B$3:C$248,2,0)</f>
        <v>0.68400000000000005</v>
      </c>
      <c r="F171" s="16" t="s">
        <v>278</v>
      </c>
      <c r="G171" s="19">
        <v>2221</v>
      </c>
      <c r="H171" s="30">
        <v>61808.27</v>
      </c>
      <c r="I171" s="26">
        <v>0.01</v>
      </c>
      <c r="J171" s="19">
        <v>11.5</v>
      </c>
      <c r="K171" s="26">
        <v>0.01</v>
      </c>
      <c r="L171" s="19">
        <v>2929</v>
      </c>
      <c r="M171" s="19">
        <v>418</v>
      </c>
      <c r="N171" s="22">
        <v>0</v>
      </c>
      <c r="O171" s="48">
        <v>0</v>
      </c>
    </row>
    <row r="172" spans="1:15" x14ac:dyDescent="0.25">
      <c r="A172" s="52"/>
      <c r="B172" s="4" t="s">
        <v>120</v>
      </c>
      <c r="C172" s="21"/>
      <c r="D172" s="40">
        <v>0.13271144278607006</v>
      </c>
      <c r="E172" s="19">
        <f>VLOOKUP(B172,'[1]Atlas Brasil'!B$3:C$248,2,0)</f>
        <v>0.68400000000000005</v>
      </c>
      <c r="F172" s="16" t="s">
        <v>278</v>
      </c>
      <c r="G172" s="19">
        <v>2044</v>
      </c>
      <c r="H172" s="30">
        <v>14953.82</v>
      </c>
      <c r="I172" s="26">
        <v>0</v>
      </c>
      <c r="J172" s="19">
        <v>13.94</v>
      </c>
      <c r="K172" s="26">
        <v>0.01</v>
      </c>
      <c r="L172" s="19">
        <v>2261</v>
      </c>
      <c r="M172" s="19">
        <v>978</v>
      </c>
      <c r="N172" s="22">
        <v>0</v>
      </c>
      <c r="O172" s="48">
        <v>0</v>
      </c>
    </row>
    <row r="173" spans="1:15" ht="16.5" customHeight="1" x14ac:dyDescent="0.25">
      <c r="A173" s="52"/>
      <c r="B173" s="4" t="s">
        <v>121</v>
      </c>
      <c r="C173" s="21"/>
      <c r="D173" s="40">
        <v>0.13092738407699056</v>
      </c>
      <c r="E173" s="19">
        <f>VLOOKUP(B173,'[1]Atlas Brasil'!B$3:C$248,2,0)</f>
        <v>0.73099999999999998</v>
      </c>
      <c r="F173" s="16" t="s">
        <v>368</v>
      </c>
      <c r="G173" s="19">
        <v>2198</v>
      </c>
      <c r="H173" s="30">
        <v>68261.679999999993</v>
      </c>
      <c r="I173" s="26">
        <v>0.02</v>
      </c>
      <c r="J173" s="19">
        <v>4.53</v>
      </c>
      <c r="K173" s="26">
        <v>0.01</v>
      </c>
      <c r="L173" s="19">
        <v>2839</v>
      </c>
      <c r="M173" s="19">
        <v>473</v>
      </c>
      <c r="N173" s="22">
        <v>0</v>
      </c>
      <c r="O173" s="48">
        <v>0</v>
      </c>
    </row>
    <row r="174" spans="1:15" ht="16.5" customHeight="1" x14ac:dyDescent="0.25">
      <c r="A174" s="52"/>
      <c r="B174" s="4" t="s">
        <v>122</v>
      </c>
      <c r="C174" s="21"/>
      <c r="D174" s="39">
        <v>0.15698099415204711</v>
      </c>
      <c r="E174" s="19">
        <f>VLOOKUP(B174,'[1]Atlas Brasil'!B$3:C$248,2,0)</f>
        <v>0.68700000000000006</v>
      </c>
      <c r="F174" s="16" t="s">
        <v>367</v>
      </c>
      <c r="G174" s="19">
        <v>2320</v>
      </c>
      <c r="H174" s="30">
        <v>15139.67</v>
      </c>
      <c r="I174" s="26">
        <v>0</v>
      </c>
      <c r="J174" s="19">
        <v>14.17</v>
      </c>
      <c r="K174" s="26">
        <v>0.01</v>
      </c>
      <c r="L174" s="19">
        <v>2243</v>
      </c>
      <c r="M174" s="19">
        <v>1416</v>
      </c>
      <c r="N174" s="22">
        <v>0</v>
      </c>
      <c r="O174" s="48">
        <v>0</v>
      </c>
    </row>
    <row r="175" spans="1:15" ht="16.5" customHeight="1" x14ac:dyDescent="0.25">
      <c r="A175" s="52"/>
      <c r="B175" s="4" t="s">
        <v>123</v>
      </c>
      <c r="C175" s="21"/>
      <c r="D175" s="39">
        <v>0.18207952341368838</v>
      </c>
      <c r="E175" s="19">
        <f>VLOOKUP(B175,'[1]Atlas Brasil'!B$3:C$248,2,0)</f>
        <v>0.68400000000000005</v>
      </c>
      <c r="F175" s="16" t="s">
        <v>278</v>
      </c>
      <c r="G175" s="19">
        <v>4995</v>
      </c>
      <c r="H175" s="27" t="s">
        <v>401</v>
      </c>
      <c r="I175" s="26">
        <v>0.02</v>
      </c>
      <c r="J175" s="19">
        <v>11.59</v>
      </c>
      <c r="K175" s="26">
        <v>0.02</v>
      </c>
      <c r="L175" s="19">
        <v>6321</v>
      </c>
      <c r="M175" s="19">
        <v>1050</v>
      </c>
      <c r="N175" s="22">
        <v>0</v>
      </c>
      <c r="O175" s="48">
        <v>0</v>
      </c>
    </row>
    <row r="176" spans="1:15" s="15" customFormat="1" x14ac:dyDescent="0.25">
      <c r="A176" s="69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2"/>
    </row>
    <row r="177" spans="1:15" ht="16.5" customHeight="1" x14ac:dyDescent="0.25">
      <c r="A177" s="50" t="s">
        <v>415</v>
      </c>
      <c r="B177" s="6" t="s">
        <v>124</v>
      </c>
      <c r="C177" s="7"/>
      <c r="D177" s="44">
        <v>0.14723449517263906</v>
      </c>
      <c r="E177" s="6">
        <f>VLOOKUP(B177,'[1]Atlas Brasil'!B$3:C$248,2,0)</f>
        <v>0.68600000000000005</v>
      </c>
      <c r="F177" s="23" t="s">
        <v>343</v>
      </c>
      <c r="G177" s="6">
        <v>13358</v>
      </c>
      <c r="H177" s="8">
        <v>28048.9</v>
      </c>
      <c r="I177" s="9">
        <v>0.02</v>
      </c>
      <c r="J177" s="6">
        <v>13.38</v>
      </c>
      <c r="K177" s="9">
        <v>0.03</v>
      </c>
      <c r="L177" s="6">
        <v>17696</v>
      </c>
      <c r="M177" s="6">
        <v>2583</v>
      </c>
      <c r="N177" s="24">
        <v>0</v>
      </c>
      <c r="O177" s="51">
        <v>0</v>
      </c>
    </row>
    <row r="178" spans="1:15" x14ac:dyDescent="0.25">
      <c r="A178" s="50"/>
      <c r="B178" s="6" t="s">
        <v>125</v>
      </c>
      <c r="C178" s="7"/>
      <c r="D178" s="44">
        <v>0.13908837023738305</v>
      </c>
      <c r="E178" s="6">
        <f>VLOOKUP(B178,'[1]Atlas Brasil'!B$3:C$248,2,0)</f>
        <v>0.69299999999999995</v>
      </c>
      <c r="F178" s="23" t="s">
        <v>308</v>
      </c>
      <c r="G178" s="6">
        <v>1594</v>
      </c>
      <c r="H178" s="8">
        <v>29396.37</v>
      </c>
      <c r="I178" s="9">
        <v>0</v>
      </c>
      <c r="J178" s="6">
        <v>11.75</v>
      </c>
      <c r="K178" s="9">
        <v>0</v>
      </c>
      <c r="L178" s="6">
        <v>1950</v>
      </c>
      <c r="M178" s="6">
        <v>477</v>
      </c>
      <c r="N178" s="24">
        <v>0</v>
      </c>
      <c r="O178" s="51">
        <v>0</v>
      </c>
    </row>
    <row r="179" spans="1:15" ht="16.5" customHeight="1" x14ac:dyDescent="0.25">
      <c r="A179" s="50"/>
      <c r="B179" s="6" t="s">
        <v>126</v>
      </c>
      <c r="C179" s="7"/>
      <c r="D179" s="44">
        <v>0.13580246913580296</v>
      </c>
      <c r="E179" s="6">
        <f>VLOOKUP(B179,'[1]Atlas Brasil'!B$3:C$248,2,0)</f>
        <v>0.69299999999999995</v>
      </c>
      <c r="F179" s="23" t="s">
        <v>308</v>
      </c>
      <c r="G179" s="6">
        <v>2504</v>
      </c>
      <c r="H179" s="8">
        <v>73609.2</v>
      </c>
      <c r="I179" s="9">
        <v>0.01</v>
      </c>
      <c r="J179" s="6">
        <v>11.74</v>
      </c>
      <c r="K179" s="9">
        <v>0.01</v>
      </c>
      <c r="L179" s="6">
        <v>2541</v>
      </c>
      <c r="M179" s="6">
        <v>1262</v>
      </c>
      <c r="N179" s="24">
        <v>0</v>
      </c>
      <c r="O179" s="51">
        <v>0</v>
      </c>
    </row>
    <row r="180" spans="1:15" x14ac:dyDescent="0.25">
      <c r="A180" s="50"/>
      <c r="B180" s="6" t="s">
        <v>127</v>
      </c>
      <c r="C180" s="7"/>
      <c r="D180" s="44">
        <v>0.12053152836380589</v>
      </c>
      <c r="E180" s="6">
        <f>VLOOKUP(B180,'[1]Atlas Brasil'!B$3:C$248,2,0)</f>
        <v>0.71</v>
      </c>
      <c r="F180" s="23" t="s">
        <v>360</v>
      </c>
      <c r="G180" s="6">
        <v>6994</v>
      </c>
      <c r="H180" s="8">
        <v>21782.23</v>
      </c>
      <c r="I180" s="9">
        <v>0.01</v>
      </c>
      <c r="J180" s="6">
        <v>10.17</v>
      </c>
      <c r="K180" s="9">
        <v>0.02</v>
      </c>
      <c r="L180" s="6">
        <v>8382</v>
      </c>
      <c r="M180" s="6">
        <v>2171</v>
      </c>
      <c r="N180" s="24">
        <v>0</v>
      </c>
      <c r="O180" s="51">
        <v>0</v>
      </c>
    </row>
    <row r="181" spans="1:15" ht="16.5" customHeight="1" x14ac:dyDescent="0.25">
      <c r="A181" s="50"/>
      <c r="B181" s="6" t="s">
        <v>128</v>
      </c>
      <c r="C181" s="7"/>
      <c r="D181" s="44">
        <v>0.11160488200141697</v>
      </c>
      <c r="E181" s="6">
        <f>VLOOKUP(B181,'[1]Atlas Brasil'!B$3:C$248,2,0)</f>
        <v>0.73</v>
      </c>
      <c r="F181" s="23" t="s">
        <v>355</v>
      </c>
      <c r="G181" s="6">
        <v>8812</v>
      </c>
      <c r="H181" s="8">
        <v>53694.65</v>
      </c>
      <c r="I181" s="9">
        <v>0.03</v>
      </c>
      <c r="J181" s="6">
        <v>8.2200000000000006</v>
      </c>
      <c r="K181" s="9">
        <v>0.02</v>
      </c>
      <c r="L181" s="6">
        <v>10735</v>
      </c>
      <c r="M181" s="6">
        <v>2548</v>
      </c>
      <c r="N181" s="24">
        <v>0</v>
      </c>
      <c r="O181" s="51">
        <v>0</v>
      </c>
    </row>
    <row r="182" spans="1:15" ht="16.5" customHeight="1" x14ac:dyDescent="0.25">
      <c r="A182" s="50"/>
      <c r="B182" s="6" t="s">
        <v>129</v>
      </c>
      <c r="C182" s="7"/>
      <c r="D182" s="44">
        <v>0.12613908872901741</v>
      </c>
      <c r="E182" s="6">
        <f>VLOOKUP(B182,'[1]Atlas Brasil'!B$3:C$248,2,0)</f>
        <v>0.70099999999999996</v>
      </c>
      <c r="F182" s="23" t="s">
        <v>290</v>
      </c>
      <c r="G182" s="6">
        <v>2388</v>
      </c>
      <c r="H182" s="8">
        <v>23482.92</v>
      </c>
      <c r="I182" s="9">
        <v>0</v>
      </c>
      <c r="J182" s="6">
        <v>23.17</v>
      </c>
      <c r="K182" s="9">
        <v>0.01</v>
      </c>
      <c r="L182" s="6">
        <v>3344</v>
      </c>
      <c r="M182" s="6">
        <v>294</v>
      </c>
      <c r="N182" s="24">
        <v>0</v>
      </c>
      <c r="O182" s="51">
        <v>0</v>
      </c>
    </row>
    <row r="183" spans="1:15" x14ac:dyDescent="0.25">
      <c r="A183" s="50"/>
      <c r="B183" s="6" t="s">
        <v>130</v>
      </c>
      <c r="C183" s="7"/>
      <c r="D183" s="43">
        <v>0.16142898425083138</v>
      </c>
      <c r="E183" s="6">
        <f>VLOOKUP(B183,'[1]Atlas Brasil'!B$3:C$248,2,0)</f>
        <v>0.74199999999999999</v>
      </c>
      <c r="F183" s="23" t="s">
        <v>293</v>
      </c>
      <c r="G183" s="6">
        <v>4827</v>
      </c>
      <c r="H183" s="8">
        <v>121054.33</v>
      </c>
      <c r="I183" s="9">
        <v>0.04</v>
      </c>
      <c r="J183" s="6">
        <v>4.18</v>
      </c>
      <c r="K183" s="9">
        <v>0.02</v>
      </c>
      <c r="L183" s="6">
        <v>5878</v>
      </c>
      <c r="M183" s="6">
        <v>1123</v>
      </c>
      <c r="N183" s="24">
        <v>0</v>
      </c>
      <c r="O183" s="51">
        <v>0</v>
      </c>
    </row>
    <row r="184" spans="1:15" ht="16.5" customHeight="1" x14ac:dyDescent="0.25">
      <c r="A184" s="50"/>
      <c r="B184" s="6" t="s">
        <v>131</v>
      </c>
      <c r="C184" s="7"/>
      <c r="D184" s="44">
        <v>0.13819444444444468</v>
      </c>
      <c r="E184" s="6">
        <f>VLOOKUP(B184,'[1]Atlas Brasil'!B$3:C$248,2,0)</f>
        <v>0.67400000000000004</v>
      </c>
      <c r="F184" s="23" t="s">
        <v>369</v>
      </c>
      <c r="G184" s="6">
        <v>3210</v>
      </c>
      <c r="H184" s="8">
        <v>33660.44</v>
      </c>
      <c r="I184" s="9">
        <v>0.01</v>
      </c>
      <c r="J184" s="6">
        <v>16.38</v>
      </c>
      <c r="K184" s="9">
        <v>0.01</v>
      </c>
      <c r="L184" s="6">
        <v>3895</v>
      </c>
      <c r="M184" s="6">
        <v>1054</v>
      </c>
      <c r="N184" s="24">
        <v>0</v>
      </c>
      <c r="O184" s="51">
        <v>0</v>
      </c>
    </row>
    <row r="185" spans="1:15" ht="16.5" customHeight="1" x14ac:dyDescent="0.25">
      <c r="A185" s="50"/>
      <c r="B185" s="6" t="s">
        <v>132</v>
      </c>
      <c r="C185" s="7"/>
      <c r="D185" s="44">
        <v>0.10373737373737422</v>
      </c>
      <c r="E185" s="6">
        <f>VLOOKUP(B185,'[1]Atlas Brasil'!B$3:C$248,2,0)</f>
        <v>0.69099999999999995</v>
      </c>
      <c r="F185" s="23" t="s">
        <v>319</v>
      </c>
      <c r="G185" s="6">
        <v>3271</v>
      </c>
      <c r="H185" s="8">
        <v>20693.37</v>
      </c>
      <c r="I185" s="9">
        <v>0</v>
      </c>
      <c r="J185" s="6">
        <v>9.99</v>
      </c>
      <c r="K185" s="9">
        <v>0.01</v>
      </c>
      <c r="L185" s="6">
        <v>3740</v>
      </c>
      <c r="M185" s="6">
        <v>1322</v>
      </c>
      <c r="N185" s="24">
        <v>0</v>
      </c>
      <c r="O185" s="51">
        <v>0</v>
      </c>
    </row>
    <row r="186" spans="1:15" ht="16.5" customHeight="1" x14ac:dyDescent="0.25">
      <c r="A186" s="50"/>
      <c r="B186" s="6" t="s">
        <v>133</v>
      </c>
      <c r="C186" s="7"/>
      <c r="D186" s="44">
        <v>0.12326020287803792</v>
      </c>
      <c r="E186" s="6">
        <f>VLOOKUP(B186,'[1]Atlas Brasil'!B$3:C$248,2,0)</f>
        <v>0.69299999999999995</v>
      </c>
      <c r="F186" s="23" t="s">
        <v>308</v>
      </c>
      <c r="G186" s="6">
        <v>4089</v>
      </c>
      <c r="H186" s="8">
        <v>32934.5</v>
      </c>
      <c r="I186" s="9">
        <v>1</v>
      </c>
      <c r="J186" s="6">
        <v>11.23</v>
      </c>
      <c r="K186" s="9">
        <v>0.01</v>
      </c>
      <c r="L186" s="6">
        <v>4078</v>
      </c>
      <c r="M186" s="6">
        <v>2222</v>
      </c>
      <c r="N186" s="24">
        <v>0</v>
      </c>
      <c r="O186" s="51">
        <v>0</v>
      </c>
    </row>
    <row r="187" spans="1:15" ht="16.5" customHeight="1" x14ac:dyDescent="0.25">
      <c r="A187" s="50"/>
      <c r="B187" s="6" t="s">
        <v>134</v>
      </c>
      <c r="C187" s="7"/>
      <c r="D187" s="44">
        <v>0.12801547442748912</v>
      </c>
      <c r="E187" s="6">
        <f>VLOOKUP(B187,'[1]Atlas Brasil'!B$3:C$248,2,0)</f>
        <v>0.75700000000000001</v>
      </c>
      <c r="F187" s="23" t="s">
        <v>370</v>
      </c>
      <c r="G187" s="6">
        <v>57824</v>
      </c>
      <c r="H187" s="8">
        <v>41620.42</v>
      </c>
      <c r="I187" s="9">
        <v>0.15</v>
      </c>
      <c r="J187" s="6">
        <v>6.54</v>
      </c>
      <c r="K187" s="9">
        <v>0.15</v>
      </c>
      <c r="L187" s="6">
        <v>81010</v>
      </c>
      <c r="M187" s="6">
        <v>6996</v>
      </c>
      <c r="N187" s="24">
        <v>0</v>
      </c>
      <c r="O187" s="51">
        <v>0</v>
      </c>
    </row>
    <row r="188" spans="1:15" ht="16.5" customHeight="1" x14ac:dyDescent="0.25">
      <c r="A188" s="50"/>
      <c r="B188" s="6" t="s">
        <v>135</v>
      </c>
      <c r="C188" s="7"/>
      <c r="D188" s="44">
        <v>0.15375243664717342</v>
      </c>
      <c r="E188" s="6">
        <f>VLOOKUP(B188,'[1]Atlas Brasil'!B$3:C$248,2,0)</f>
        <v>0.74</v>
      </c>
      <c r="F188" s="23" t="s">
        <v>371</v>
      </c>
      <c r="G188" s="6">
        <v>824</v>
      </c>
      <c r="H188" s="8">
        <v>26050.84</v>
      </c>
      <c r="I188" s="9">
        <v>0</v>
      </c>
      <c r="J188" s="6">
        <v>6.16</v>
      </c>
      <c r="K188" s="9">
        <v>0</v>
      </c>
      <c r="L188" s="6">
        <v>776</v>
      </c>
      <c r="M188" s="6">
        <v>478</v>
      </c>
      <c r="N188" s="24">
        <v>0</v>
      </c>
      <c r="O188" s="51">
        <v>0</v>
      </c>
    </row>
    <row r="189" spans="1:15" ht="16.5" customHeight="1" x14ac:dyDescent="0.25">
      <c r="A189" s="50"/>
      <c r="B189" s="6" t="s">
        <v>136</v>
      </c>
      <c r="C189" s="7"/>
      <c r="D189" s="43">
        <v>0.18812312312312299</v>
      </c>
      <c r="E189" s="6">
        <f>VLOOKUP(B189,'[1]Atlas Brasil'!B$3:C$248,2,0)</f>
        <v>0.67700000000000005</v>
      </c>
      <c r="F189" s="23" t="s">
        <v>299</v>
      </c>
      <c r="G189" s="6">
        <v>7488</v>
      </c>
      <c r="H189" s="8">
        <v>14248.34</v>
      </c>
      <c r="I189" s="9">
        <v>0.01</v>
      </c>
      <c r="J189" s="6">
        <v>13.51</v>
      </c>
      <c r="K189" s="9">
        <v>0.02</v>
      </c>
      <c r="L189" s="6">
        <v>11120</v>
      </c>
      <c r="M189" s="6">
        <v>401</v>
      </c>
      <c r="N189" s="24">
        <v>0</v>
      </c>
      <c r="O189" s="51">
        <v>0</v>
      </c>
    </row>
    <row r="190" spans="1:15" ht="31.5" x14ac:dyDescent="0.25">
      <c r="A190" s="50"/>
      <c r="B190" s="33" t="s">
        <v>137</v>
      </c>
      <c r="C190" s="14" t="s">
        <v>416</v>
      </c>
      <c r="D190" s="45">
        <v>0.13741638909199169</v>
      </c>
      <c r="E190" s="6">
        <f>VLOOKUP(B190,'[1]Atlas Brasil'!B$3:C$248,2,0)</f>
        <v>0.71799999999999997</v>
      </c>
      <c r="F190" s="23" t="s">
        <v>277</v>
      </c>
      <c r="G190" s="6">
        <v>35649</v>
      </c>
      <c r="H190" s="8">
        <v>36703.839999999997</v>
      </c>
      <c r="I190" s="9">
        <v>0.09</v>
      </c>
      <c r="J190" s="6">
        <v>6.97</v>
      </c>
      <c r="K190" s="9">
        <v>0.1</v>
      </c>
      <c r="L190" s="6">
        <v>48286</v>
      </c>
      <c r="M190" s="6">
        <v>4649</v>
      </c>
      <c r="N190" s="24">
        <v>0</v>
      </c>
      <c r="O190" s="53" t="s">
        <v>419</v>
      </c>
    </row>
    <row r="191" spans="1:15" ht="16.5" customHeight="1" x14ac:dyDescent="0.25">
      <c r="A191" s="50"/>
      <c r="B191" s="6" t="s">
        <v>138</v>
      </c>
      <c r="C191" s="7"/>
      <c r="D191" s="44">
        <v>0.13988778372864041</v>
      </c>
      <c r="E191" s="6">
        <f>VLOOKUP(B191,'[1]Atlas Brasil'!B$3:C$248,2,0)</f>
        <v>0.73299999999999998</v>
      </c>
      <c r="F191" s="23" t="s">
        <v>361</v>
      </c>
      <c r="G191" s="6">
        <v>7293</v>
      </c>
      <c r="H191" s="8">
        <v>59010.83</v>
      </c>
      <c r="I191" s="9">
        <v>0.03</v>
      </c>
      <c r="J191" s="6">
        <v>8.69</v>
      </c>
      <c r="K191" s="9">
        <v>0.02</v>
      </c>
      <c r="L191" s="6">
        <v>8584</v>
      </c>
      <c r="M191" s="6">
        <v>1988</v>
      </c>
      <c r="N191" s="7" t="s">
        <v>250</v>
      </c>
      <c r="O191" s="51">
        <v>0</v>
      </c>
    </row>
    <row r="192" spans="1:15" ht="16.5" customHeight="1" x14ac:dyDescent="0.25">
      <c r="A192" s="50"/>
      <c r="B192" s="6" t="s">
        <v>139</v>
      </c>
      <c r="C192" s="7"/>
      <c r="D192" s="44">
        <v>0.11981882604626257</v>
      </c>
      <c r="E192" s="6">
        <f>VLOOKUP(B192,'[1]Atlas Brasil'!B$3:C$248,2,0)</f>
        <v>0.71099999999999997</v>
      </c>
      <c r="F192" s="23" t="s">
        <v>362</v>
      </c>
      <c r="G192" s="6">
        <v>5870</v>
      </c>
      <c r="H192" s="8">
        <v>18278.93</v>
      </c>
      <c r="I192" s="9">
        <v>0.01</v>
      </c>
      <c r="J192" s="6">
        <v>12.68</v>
      </c>
      <c r="K192" s="9">
        <v>0.01</v>
      </c>
      <c r="L192" s="6">
        <v>8388</v>
      </c>
      <c r="M192" s="6">
        <v>712</v>
      </c>
      <c r="N192" s="24">
        <v>0</v>
      </c>
      <c r="O192" s="51">
        <v>0</v>
      </c>
    </row>
    <row r="193" spans="1:15" ht="16.5" customHeight="1" x14ac:dyDescent="0.25">
      <c r="A193" s="50"/>
      <c r="B193" s="6" t="s">
        <v>140</v>
      </c>
      <c r="C193" s="7"/>
      <c r="D193" s="44">
        <v>0.14838383838383826</v>
      </c>
      <c r="E193" s="6">
        <f>VLOOKUP(B193,'[1]Atlas Brasil'!B$3:C$248,2,0)</f>
        <v>0.67600000000000005</v>
      </c>
      <c r="F193" s="23" t="s">
        <v>372</v>
      </c>
      <c r="G193" s="6">
        <v>1872</v>
      </c>
      <c r="H193" s="8">
        <v>134919.66</v>
      </c>
      <c r="I193" s="9">
        <v>0.02</v>
      </c>
      <c r="J193" s="6">
        <v>11.91</v>
      </c>
      <c r="K193" s="9">
        <v>0</v>
      </c>
      <c r="L193" s="6">
        <v>1859</v>
      </c>
      <c r="M193" s="6">
        <v>1091</v>
      </c>
      <c r="N193" s="24">
        <v>0</v>
      </c>
      <c r="O193" s="51">
        <v>0</v>
      </c>
    </row>
    <row r="194" spans="1:15" ht="16.5" customHeight="1" x14ac:dyDescent="0.25">
      <c r="A194" s="50"/>
      <c r="B194" s="6" t="s">
        <v>141</v>
      </c>
      <c r="C194" s="7"/>
      <c r="D194" s="43">
        <v>0.16031111111111171</v>
      </c>
      <c r="E194" s="6">
        <f>VLOOKUP(B194,'[1]Atlas Brasil'!B$3:C$248,2,0)</f>
        <v>0.65400000000000003</v>
      </c>
      <c r="F194" s="23" t="s">
        <v>316</v>
      </c>
      <c r="G194" s="6">
        <v>2487</v>
      </c>
      <c r="H194" s="8">
        <v>51122.47</v>
      </c>
      <c r="I194" s="9">
        <v>0.01</v>
      </c>
      <c r="J194" s="6">
        <v>12.42</v>
      </c>
      <c r="K194" s="9">
        <v>0.01</v>
      </c>
      <c r="L194" s="6">
        <v>3110</v>
      </c>
      <c r="M194" s="6">
        <v>729</v>
      </c>
      <c r="N194" s="24">
        <v>0</v>
      </c>
      <c r="O194" s="51">
        <v>0</v>
      </c>
    </row>
    <row r="195" spans="1:15" ht="16.5" customHeight="1" x14ac:dyDescent="0.25">
      <c r="A195" s="50"/>
      <c r="B195" s="6" t="s">
        <v>142</v>
      </c>
      <c r="C195" s="7"/>
      <c r="D195" s="44">
        <v>0.12607196122296452</v>
      </c>
      <c r="E195" s="6">
        <f>VLOOKUP(B195,'[1]Atlas Brasil'!B$3:C$248,2,0)</f>
        <v>0.74</v>
      </c>
      <c r="F195" s="23" t="s">
        <v>371</v>
      </c>
      <c r="G195" s="6">
        <v>28770</v>
      </c>
      <c r="H195" s="8">
        <v>33075.019999999997</v>
      </c>
      <c r="I195" s="9">
        <v>0.06</v>
      </c>
      <c r="J195" s="6">
        <v>9.1300000000000008</v>
      </c>
      <c r="K195" s="9">
        <v>7.0000000000000007E-2</v>
      </c>
      <c r="L195" s="6">
        <v>38163</v>
      </c>
      <c r="M195" s="6">
        <v>5057</v>
      </c>
      <c r="N195" s="24">
        <v>0</v>
      </c>
      <c r="O195" s="51">
        <v>0</v>
      </c>
    </row>
    <row r="196" spans="1:15" ht="16.5" customHeight="1" x14ac:dyDescent="0.25">
      <c r="A196" s="50"/>
      <c r="B196" s="6" t="s">
        <v>143</v>
      </c>
      <c r="C196" s="7"/>
      <c r="D196" s="44">
        <v>0.13981512667939006</v>
      </c>
      <c r="E196" s="6">
        <f>VLOOKUP(B196,'[1]Atlas Brasil'!B$3:C$248,2,0)</f>
        <v>0.754</v>
      </c>
      <c r="F196" s="23" t="s">
        <v>373</v>
      </c>
      <c r="G196" s="6">
        <v>121317</v>
      </c>
      <c r="H196" s="8">
        <v>39288.71</v>
      </c>
      <c r="I196" s="9">
        <v>0.32</v>
      </c>
      <c r="J196" s="6">
        <v>5.96</v>
      </c>
      <c r="K196" s="9">
        <v>0.35</v>
      </c>
      <c r="L196" s="6">
        <v>163540</v>
      </c>
      <c r="M196" s="6">
        <v>12884</v>
      </c>
      <c r="N196" s="24">
        <v>0</v>
      </c>
      <c r="O196" s="51">
        <v>0</v>
      </c>
    </row>
    <row r="197" spans="1:15" ht="15.75" customHeight="1" x14ac:dyDescent="0.25">
      <c r="A197" s="50"/>
      <c r="B197" s="6" t="s">
        <v>18</v>
      </c>
      <c r="C197" s="14"/>
      <c r="D197" s="44">
        <v>0.12358622442495502</v>
      </c>
      <c r="E197" s="6">
        <f>VLOOKUP(B197,'[1]Atlas Brasil'!B$3:C$248,2,0)</f>
        <v>0.72399999999999998</v>
      </c>
      <c r="F197" s="23" t="s">
        <v>374</v>
      </c>
      <c r="G197" s="6">
        <v>24143</v>
      </c>
      <c r="H197" s="8">
        <v>26844.54</v>
      </c>
      <c r="I197" s="9">
        <v>0.04</v>
      </c>
      <c r="J197" s="6">
        <v>11.39</v>
      </c>
      <c r="K197" s="9">
        <v>0.06</v>
      </c>
      <c r="L197" s="6">
        <v>34815</v>
      </c>
      <c r="M197" s="6">
        <v>1654</v>
      </c>
      <c r="N197" s="24">
        <v>0</v>
      </c>
      <c r="O197" s="51">
        <v>0</v>
      </c>
    </row>
    <row r="198" spans="1:15" x14ac:dyDescent="0.25">
      <c r="A198" s="50"/>
      <c r="B198" s="6" t="s">
        <v>144</v>
      </c>
      <c r="C198" s="7"/>
      <c r="D198" s="44">
        <v>0.13800141995030127</v>
      </c>
      <c r="E198" s="6">
        <f>VLOOKUP(B198,'[1]Atlas Brasil'!B$3:C$248,2,0)</f>
        <v>0.71399999999999997</v>
      </c>
      <c r="F198" s="23" t="s">
        <v>375</v>
      </c>
      <c r="G198" s="6">
        <v>4462</v>
      </c>
      <c r="H198" s="8">
        <v>18525.75</v>
      </c>
      <c r="I198" s="9">
        <v>0.01</v>
      </c>
      <c r="J198" s="6">
        <v>9.1199999999999992</v>
      </c>
      <c r="K198" s="9">
        <v>0.01</v>
      </c>
      <c r="L198" s="6">
        <v>6159</v>
      </c>
      <c r="M198" s="6">
        <v>765</v>
      </c>
      <c r="N198" s="24">
        <v>0</v>
      </c>
      <c r="O198" s="51">
        <v>0</v>
      </c>
    </row>
    <row r="199" spans="1:15" x14ac:dyDescent="0.25">
      <c r="A199" s="50"/>
      <c r="B199" s="6" t="s">
        <v>145</v>
      </c>
      <c r="C199" s="7"/>
      <c r="D199" s="44">
        <v>0.15033132994298098</v>
      </c>
      <c r="E199" s="6">
        <f>VLOOKUP(B199,'[1]Atlas Brasil'!B$3:C$248,2,0)</f>
        <v>0.69099999999999995</v>
      </c>
      <c r="F199" s="23" t="s">
        <v>319</v>
      </c>
      <c r="G199" s="6">
        <v>2814</v>
      </c>
      <c r="H199" s="8">
        <v>37196.51</v>
      </c>
      <c r="I199" s="9">
        <v>0.01</v>
      </c>
      <c r="J199" s="6">
        <v>16.68</v>
      </c>
      <c r="K199" s="9">
        <v>0.01</v>
      </c>
      <c r="L199" s="6">
        <v>3372</v>
      </c>
      <c r="M199" s="6">
        <v>1051</v>
      </c>
      <c r="N199" s="24">
        <v>0</v>
      </c>
      <c r="O199" s="51">
        <v>0</v>
      </c>
    </row>
    <row r="200" spans="1:15" ht="16.5" customHeight="1" x14ac:dyDescent="0.25">
      <c r="A200" s="50"/>
      <c r="B200" s="6" t="s">
        <v>146</v>
      </c>
      <c r="C200" s="7"/>
      <c r="D200" s="44">
        <v>0.13461398530160784</v>
      </c>
      <c r="E200" s="6">
        <f>VLOOKUP(B200,'[1]Atlas Brasil'!B$3:C$248,2,0)</f>
        <v>0.72</v>
      </c>
      <c r="F200" s="23" t="s">
        <v>287</v>
      </c>
      <c r="G200" s="6">
        <v>11449</v>
      </c>
      <c r="H200" s="8">
        <v>121806.46</v>
      </c>
      <c r="I200" s="9">
        <v>0.09</v>
      </c>
      <c r="J200" s="6">
        <v>10.64</v>
      </c>
      <c r="K200" s="9">
        <v>0.03</v>
      </c>
      <c r="L200" s="6">
        <v>16309</v>
      </c>
      <c r="M200" s="6">
        <v>779</v>
      </c>
      <c r="N200" s="24">
        <v>0</v>
      </c>
      <c r="O200" s="51">
        <v>0</v>
      </c>
    </row>
    <row r="201" spans="1:15" ht="16.5" customHeight="1" x14ac:dyDescent="0.25">
      <c r="A201" s="50"/>
      <c r="B201" s="6" t="s">
        <v>147</v>
      </c>
      <c r="C201" s="7"/>
      <c r="D201" s="44">
        <v>0.150495285833632</v>
      </c>
      <c r="E201" s="6">
        <f>VLOOKUP(B201,'[1]Atlas Brasil'!B$3:C$248,2,0)</f>
        <v>0.68100000000000005</v>
      </c>
      <c r="F201" s="23" t="s">
        <v>305</v>
      </c>
      <c r="G201" s="6">
        <v>4845</v>
      </c>
      <c r="H201" s="8">
        <v>52079.49</v>
      </c>
      <c r="I201" s="9">
        <v>0.02</v>
      </c>
      <c r="J201" s="6">
        <v>11.51</v>
      </c>
      <c r="K201" s="9">
        <v>0.01</v>
      </c>
      <c r="L201" s="6">
        <v>5534</v>
      </c>
      <c r="M201" s="6">
        <v>1947</v>
      </c>
      <c r="N201" s="24">
        <v>0</v>
      </c>
      <c r="O201" s="51">
        <v>0</v>
      </c>
    </row>
    <row r="202" spans="1:15" ht="16.5" customHeight="1" x14ac:dyDescent="0.25">
      <c r="A202" s="50"/>
      <c r="B202" s="6" t="s">
        <v>148</v>
      </c>
      <c r="C202" s="7"/>
      <c r="D202" s="43">
        <v>0.16355293346443778</v>
      </c>
      <c r="E202" s="6">
        <f>VLOOKUP(B202,'[1]Atlas Brasil'!B$3:C$248,2,0)</f>
        <v>0.69099999999999995</v>
      </c>
      <c r="F202" s="23" t="s">
        <v>319</v>
      </c>
      <c r="G202" s="6">
        <v>2880</v>
      </c>
      <c r="H202" s="8">
        <v>81567.199999999997</v>
      </c>
      <c r="I202" s="9">
        <v>0.02</v>
      </c>
      <c r="J202" s="6">
        <v>11.35</v>
      </c>
      <c r="K202" s="9">
        <v>0.01</v>
      </c>
      <c r="L202" s="6">
        <v>3138</v>
      </c>
      <c r="M202" s="6">
        <v>1261</v>
      </c>
      <c r="N202" s="24">
        <v>0</v>
      </c>
      <c r="O202" s="51">
        <v>0</v>
      </c>
    </row>
    <row r="203" spans="1:15" s="15" customFormat="1" x14ac:dyDescent="0.25">
      <c r="A203" s="69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2"/>
    </row>
    <row r="204" spans="1:15" ht="16.5" customHeight="1" x14ac:dyDescent="0.25">
      <c r="A204" s="52" t="s">
        <v>417</v>
      </c>
      <c r="B204" s="19" t="s">
        <v>182</v>
      </c>
      <c r="C204" s="21"/>
      <c r="D204" s="39">
        <v>0.16247484909456783</v>
      </c>
      <c r="E204" s="19">
        <f>VLOOKUP(B204,'[1]Atlas Brasil'!B$3:C$248,2,0)</f>
        <v>0.70199999999999996</v>
      </c>
      <c r="F204" s="16" t="s">
        <v>363</v>
      </c>
      <c r="G204" s="19">
        <v>1618</v>
      </c>
      <c r="H204" s="25">
        <v>12481.14</v>
      </c>
      <c r="I204" s="26">
        <v>3.0000000000000001E-3</v>
      </c>
      <c r="J204" s="19">
        <v>13.58</v>
      </c>
      <c r="K204" s="26">
        <f>2516/351573</f>
        <v>7.1564084841554956E-3</v>
      </c>
      <c r="L204" s="19">
        <v>2207</v>
      </c>
      <c r="M204" s="19">
        <v>270</v>
      </c>
      <c r="N204" s="22">
        <v>0</v>
      </c>
      <c r="O204" s="48">
        <v>0</v>
      </c>
    </row>
    <row r="205" spans="1:15" x14ac:dyDescent="0.25">
      <c r="A205" s="52"/>
      <c r="B205" s="19" t="s">
        <v>183</v>
      </c>
      <c r="C205" s="21"/>
      <c r="D205" s="39">
        <v>0.17154368108566606</v>
      </c>
      <c r="E205" s="19">
        <f>VLOOKUP(B205,'[1]Atlas Brasil'!B$3:C$248,2,0)</f>
        <v>0.7</v>
      </c>
      <c r="F205" s="16" t="s">
        <v>376</v>
      </c>
      <c r="G205" s="19">
        <v>3601</v>
      </c>
      <c r="H205" s="25">
        <v>13707.17</v>
      </c>
      <c r="I205" s="26">
        <v>0.01</v>
      </c>
      <c r="J205" s="19">
        <v>14.12</v>
      </c>
      <c r="K205" s="26">
        <f>6111/351573</f>
        <v>1.7381880861158279E-2</v>
      </c>
      <c r="L205" s="19">
        <v>4718</v>
      </c>
      <c r="M205" s="19">
        <v>790</v>
      </c>
      <c r="N205" s="22">
        <v>0</v>
      </c>
      <c r="O205" s="48">
        <v>0</v>
      </c>
    </row>
    <row r="206" spans="1:15" ht="16.5" customHeight="1" x14ac:dyDescent="0.25">
      <c r="A206" s="52"/>
      <c r="B206" s="19" t="s">
        <v>184</v>
      </c>
      <c r="C206" s="21"/>
      <c r="D206" s="39">
        <v>0.1588741099019218</v>
      </c>
      <c r="E206" s="19">
        <f>VLOOKUP(B206,'[1]Atlas Brasil'!B$3:C$248,2,0)</f>
        <v>0.68100000000000005</v>
      </c>
      <c r="F206" s="16" t="s">
        <v>305</v>
      </c>
      <c r="G206" s="19">
        <v>2290</v>
      </c>
      <c r="H206" s="25">
        <v>15863.76</v>
      </c>
      <c r="I206" s="26">
        <v>0.01</v>
      </c>
      <c r="J206" s="19">
        <v>16.47</v>
      </c>
      <c r="K206" s="26">
        <f>3126/351573</f>
        <v>8.8914677748291246E-3</v>
      </c>
      <c r="L206" s="19">
        <v>2171</v>
      </c>
      <c r="M206" s="19">
        <v>1438</v>
      </c>
      <c r="N206" s="22">
        <v>0</v>
      </c>
      <c r="O206" s="48">
        <v>0</v>
      </c>
    </row>
    <row r="207" spans="1:15" ht="16.5" customHeight="1" x14ac:dyDescent="0.25">
      <c r="A207" s="52"/>
      <c r="B207" s="19" t="s">
        <v>185</v>
      </c>
      <c r="C207" s="21"/>
      <c r="D207" s="39">
        <v>0.15713355654761688</v>
      </c>
      <c r="E207" s="19">
        <f>VLOOKUP(B207,'[1]Atlas Brasil'!B$3:C$248,2,0)</f>
        <v>0.71399999999999997</v>
      </c>
      <c r="F207" s="16" t="s">
        <v>375</v>
      </c>
      <c r="G207" s="19">
        <v>13694</v>
      </c>
      <c r="H207" s="25">
        <v>18907.07</v>
      </c>
      <c r="I207" s="26">
        <f>408657/8285030</f>
        <v>4.9324745957467865E-2</v>
      </c>
      <c r="J207" s="19">
        <v>9.51</v>
      </c>
      <c r="K207" s="26">
        <f>21850/351573</f>
        <v>6.214925492003083E-2</v>
      </c>
      <c r="L207" s="19">
        <v>17311</v>
      </c>
      <c r="M207" s="19">
        <v>2928</v>
      </c>
      <c r="N207" s="22">
        <v>0</v>
      </c>
      <c r="O207" s="48">
        <v>0</v>
      </c>
    </row>
    <row r="208" spans="1:15" ht="16.5" customHeight="1" x14ac:dyDescent="0.25">
      <c r="A208" s="52"/>
      <c r="B208" s="19" t="s">
        <v>186</v>
      </c>
      <c r="C208" s="21"/>
      <c r="D208" s="39">
        <v>0.17197452229298552</v>
      </c>
      <c r="E208" s="19">
        <f>VLOOKUP(B208,'[1]Atlas Brasil'!B$3:C$248,2,0)</f>
        <v>0.73199999999999998</v>
      </c>
      <c r="F208" s="16" t="s">
        <v>358</v>
      </c>
      <c r="G208" s="19">
        <v>12240</v>
      </c>
      <c r="H208" s="25">
        <v>10897.66</v>
      </c>
      <c r="I208" s="26">
        <f>215076/8285030</f>
        <v>2.5959592180112807E-2</v>
      </c>
      <c r="J208" s="19">
        <v>8.34</v>
      </c>
      <c r="K208" s="26">
        <f>20118/351573</f>
        <v>5.722282427831489E-2</v>
      </c>
      <c r="L208" s="19">
        <v>17617</v>
      </c>
      <c r="M208" s="19">
        <v>688</v>
      </c>
      <c r="N208" s="22">
        <v>0</v>
      </c>
      <c r="O208" s="48">
        <v>0</v>
      </c>
    </row>
    <row r="209" spans="1:15" ht="16.5" customHeight="1" x14ac:dyDescent="0.25">
      <c r="A209" s="52"/>
      <c r="B209" s="19" t="s">
        <v>187</v>
      </c>
      <c r="C209" s="21"/>
      <c r="D209" s="39">
        <v>0.15831200227531192</v>
      </c>
      <c r="E209" s="19">
        <f>VLOOKUP(B209,'[1]Atlas Brasil'!B$3:C$248,2,0)</f>
        <v>0.68700000000000006</v>
      </c>
      <c r="F209" s="16" t="s">
        <v>367</v>
      </c>
      <c r="G209" s="19">
        <v>2104</v>
      </c>
      <c r="H209" s="25">
        <v>30767.47</v>
      </c>
      <c r="I209" s="26">
        <f>92641/8285030</f>
        <v>1.1181733801808804E-2</v>
      </c>
      <c r="J209" s="19">
        <v>14.27</v>
      </c>
      <c r="K209" s="26">
        <f>2612/351573</f>
        <v>7.4294669954746238E-3</v>
      </c>
      <c r="L209" s="19">
        <v>1919</v>
      </c>
      <c r="M209" s="19">
        <v>1358</v>
      </c>
      <c r="N209" s="22">
        <v>0</v>
      </c>
      <c r="O209" s="48">
        <v>0</v>
      </c>
    </row>
    <row r="210" spans="1:15" ht="16.5" customHeight="1" x14ac:dyDescent="0.25">
      <c r="A210" s="52"/>
      <c r="B210" s="19" t="s">
        <v>188</v>
      </c>
      <c r="C210" s="21"/>
      <c r="D210" s="39">
        <v>0.15854490854490916</v>
      </c>
      <c r="E210" s="19">
        <f>VLOOKUP(B210,'[1]Atlas Brasil'!B$3:C$248,2,0)</f>
        <v>0.7</v>
      </c>
      <c r="F210" s="16" t="s">
        <v>376</v>
      </c>
      <c r="G210" s="19">
        <v>2346</v>
      </c>
      <c r="H210" s="25">
        <v>16113.79</v>
      </c>
      <c r="I210" s="26">
        <f>55834/8285030</f>
        <v>6.7391427671354238E-3</v>
      </c>
      <c r="J210" s="19">
        <v>14.32</v>
      </c>
      <c r="K210" s="26">
        <f>3120/351573</f>
        <v>8.8744016178716797E-3</v>
      </c>
      <c r="L210" s="19">
        <v>2800</v>
      </c>
      <c r="M210" s="19">
        <v>850</v>
      </c>
      <c r="N210" s="22">
        <v>0</v>
      </c>
      <c r="O210" s="48">
        <v>0</v>
      </c>
    </row>
    <row r="211" spans="1:15" ht="16.5" customHeight="1" x14ac:dyDescent="0.25">
      <c r="A211" s="52"/>
      <c r="B211" s="19" t="s">
        <v>189</v>
      </c>
      <c r="C211" s="21"/>
      <c r="D211" s="39">
        <v>0.19071065156737269</v>
      </c>
      <c r="E211" s="19">
        <f>VLOOKUP(B211,'[1]Atlas Brasil'!B$3:C$248,2,0)</f>
        <v>0.66</v>
      </c>
      <c r="F211" s="16" t="s">
        <v>329</v>
      </c>
      <c r="G211" s="19">
        <v>1600</v>
      </c>
      <c r="H211" s="25">
        <v>18425.349999999999</v>
      </c>
      <c r="I211" s="26">
        <f>45990/8285030</f>
        <v>5.5509756754049174E-3</v>
      </c>
      <c r="J211" s="19">
        <v>12.39</v>
      </c>
      <c r="K211" s="26">
        <f>2417/351573</f>
        <v>6.8748168943576441E-3</v>
      </c>
      <c r="L211" s="19">
        <v>1877</v>
      </c>
      <c r="M211" s="19">
        <v>573</v>
      </c>
      <c r="N211" s="22">
        <v>0</v>
      </c>
      <c r="O211" s="48">
        <v>0</v>
      </c>
    </row>
    <row r="212" spans="1:15" ht="16.5" customHeight="1" x14ac:dyDescent="0.25">
      <c r="A212" s="52"/>
      <c r="B212" s="19" t="s">
        <v>190</v>
      </c>
      <c r="C212" s="21"/>
      <c r="D212" s="39">
        <v>0.17248000841750855</v>
      </c>
      <c r="E212" s="19">
        <f>VLOOKUP(B212,'[1]Atlas Brasil'!B$3:C$248,2,0)</f>
        <v>0.65500000000000003</v>
      </c>
      <c r="F212" s="16" t="s">
        <v>323</v>
      </c>
      <c r="G212" s="19">
        <v>2421</v>
      </c>
      <c r="H212" s="25">
        <v>15828.43</v>
      </c>
      <c r="I212" s="26">
        <f>72209/8285030</f>
        <v>8.7155990986152124E-3</v>
      </c>
      <c r="J212" s="19">
        <v>15.68</v>
      </c>
      <c r="K212" s="26">
        <f>5138/351573</f>
        <v>1.4614319074559196E-2</v>
      </c>
      <c r="L212" s="19">
        <v>1094</v>
      </c>
      <c r="M212" s="19">
        <v>2620</v>
      </c>
      <c r="N212" s="22">
        <v>0</v>
      </c>
      <c r="O212" s="48">
        <v>0</v>
      </c>
    </row>
    <row r="213" spans="1:15" x14ac:dyDescent="0.25">
      <c r="A213" s="52"/>
      <c r="B213" s="19" t="s">
        <v>191</v>
      </c>
      <c r="C213" s="21"/>
      <c r="D213" s="39">
        <v>0.15831200227531192</v>
      </c>
      <c r="E213" s="19">
        <f>VLOOKUP(B213,'[1]Atlas Brasil'!B$3:C$248,2,0)</f>
        <v>0.67</v>
      </c>
      <c r="F213" s="16" t="s">
        <v>328</v>
      </c>
      <c r="G213" s="19">
        <v>5410</v>
      </c>
      <c r="H213" s="25">
        <v>16231.26</v>
      </c>
      <c r="I213" s="26">
        <f>143841/8285030</f>
        <v>1.7361554514588359E-2</v>
      </c>
      <c r="J213" s="19">
        <v>14.93</v>
      </c>
      <c r="K213" s="26">
        <f>8841/351573</f>
        <v>2.5146982276796001E-2</v>
      </c>
      <c r="L213" s="19">
        <v>6349</v>
      </c>
      <c r="M213" s="19">
        <v>2074</v>
      </c>
      <c r="N213" s="22">
        <v>0</v>
      </c>
      <c r="O213" s="48">
        <v>0</v>
      </c>
    </row>
    <row r="214" spans="1:15" ht="16.5" customHeight="1" x14ac:dyDescent="0.25">
      <c r="A214" s="52"/>
      <c r="B214" s="19" t="s">
        <v>192</v>
      </c>
      <c r="C214" s="21"/>
      <c r="D214" s="40">
        <v>0.10679867184969236</v>
      </c>
      <c r="E214" s="19">
        <f>VLOOKUP(B214,'[1]Atlas Brasil'!B$3:C$248,2,0)</f>
        <v>0.67200000000000004</v>
      </c>
      <c r="F214" s="16" t="s">
        <v>377</v>
      </c>
      <c r="G214" s="19">
        <v>3575</v>
      </c>
      <c r="H214" s="25">
        <v>17975.849999999999</v>
      </c>
      <c r="I214" s="26">
        <f>104170/8285030</f>
        <v>1.2573279758793873E-2</v>
      </c>
      <c r="J214" s="19">
        <v>13.98</v>
      </c>
      <c r="K214" s="26">
        <f>5779/351573</f>
        <v>1.643755350951296E-2</v>
      </c>
      <c r="L214" s="19">
        <v>4543</v>
      </c>
      <c r="M214" s="19">
        <v>966</v>
      </c>
      <c r="N214" s="22">
        <v>0</v>
      </c>
      <c r="O214" s="48">
        <v>0</v>
      </c>
    </row>
    <row r="215" spans="1:15" x14ac:dyDescent="0.25">
      <c r="A215" s="52"/>
      <c r="B215" s="19" t="s">
        <v>193</v>
      </c>
      <c r="C215" s="21"/>
      <c r="D215" s="40">
        <v>0.1338629485516647</v>
      </c>
      <c r="E215" s="19">
        <f>VLOOKUP(B215,'[1]Atlas Brasil'!B$3:C$248,2,0)</f>
        <v>0.68700000000000006</v>
      </c>
      <c r="F215" s="16" t="s">
        <v>367</v>
      </c>
      <c r="G215" s="19">
        <v>1703</v>
      </c>
      <c r="H215" s="25">
        <v>14273.85</v>
      </c>
      <c r="I215" s="26">
        <f>36955/8285030</f>
        <v>4.460454578921259E-3</v>
      </c>
      <c r="J215" s="19">
        <v>12.59</v>
      </c>
      <c r="K215" s="26">
        <f>2488/351573</f>
        <v>7.0767664183540831E-3</v>
      </c>
      <c r="L215" s="19">
        <v>1735</v>
      </c>
      <c r="M215" s="19">
        <v>825</v>
      </c>
      <c r="N215" s="22">
        <v>0</v>
      </c>
      <c r="O215" s="48">
        <v>0</v>
      </c>
    </row>
    <row r="216" spans="1:15" x14ac:dyDescent="0.25">
      <c r="A216" s="52"/>
      <c r="B216" s="19" t="s">
        <v>194</v>
      </c>
      <c r="C216" s="21"/>
      <c r="D216" s="39">
        <v>0.15868544600938944</v>
      </c>
      <c r="E216" s="19">
        <f>VLOOKUP(B216,'[1]Atlas Brasil'!B$3:C$248,2,0)</f>
        <v>0.72699999999999998</v>
      </c>
      <c r="F216" s="16" t="s">
        <v>297</v>
      </c>
      <c r="G216" s="19">
        <v>891</v>
      </c>
      <c r="H216" s="25">
        <v>17600.3</v>
      </c>
      <c r="I216" s="26">
        <f>24975/8285030</f>
        <v>3.0144730918294804E-3</v>
      </c>
      <c r="J216" s="19">
        <v>12.77</v>
      </c>
      <c r="K216" s="26">
        <f>1351/351573</f>
        <v>3.8427296749181535E-3</v>
      </c>
      <c r="L216" s="19">
        <v>1171</v>
      </c>
      <c r="M216" s="19">
        <v>246</v>
      </c>
      <c r="N216" s="22">
        <v>0</v>
      </c>
      <c r="O216" s="48">
        <v>0</v>
      </c>
    </row>
    <row r="217" spans="1:15" ht="15.75" customHeight="1" x14ac:dyDescent="0.25">
      <c r="A217" s="52"/>
      <c r="B217" s="19" t="s">
        <v>19</v>
      </c>
      <c r="C217" s="29"/>
      <c r="D217" s="39">
        <v>0.16166475754104639</v>
      </c>
      <c r="E217" s="19">
        <f>VLOOKUP(B217,'[1]Atlas Brasil'!B$3:C$248,2,0)</f>
        <v>0.69299999999999995</v>
      </c>
      <c r="F217" s="16" t="s">
        <v>308</v>
      </c>
      <c r="G217" s="19">
        <v>11032</v>
      </c>
      <c r="H217" s="25">
        <v>34363.370000000003</v>
      </c>
      <c r="I217" s="26">
        <f>634850/8285030</f>
        <v>7.6626155849767591E-2</v>
      </c>
      <c r="J217" s="19">
        <v>13.59</v>
      </c>
      <c r="K217" s="26">
        <f>18913/351573</f>
        <v>5.3795371089361242E-2</v>
      </c>
      <c r="L217" s="19">
        <v>12269</v>
      </c>
      <c r="M217" s="19">
        <v>4488</v>
      </c>
      <c r="N217" s="22">
        <v>0</v>
      </c>
      <c r="O217" s="48">
        <v>0</v>
      </c>
    </row>
    <row r="218" spans="1:15" x14ac:dyDescent="0.25">
      <c r="A218" s="52"/>
      <c r="B218" s="19" t="s">
        <v>195</v>
      </c>
      <c r="C218" s="21"/>
      <c r="D218" s="39">
        <v>0.16940451745379687</v>
      </c>
      <c r="E218" s="19">
        <f>VLOOKUP(B218,'[1]Atlas Brasil'!B$3:C$248,2,0)</f>
        <v>0.65300000000000002</v>
      </c>
      <c r="F218" s="16" t="s">
        <v>327</v>
      </c>
      <c r="G218" s="19">
        <v>2196</v>
      </c>
      <c r="H218" s="25">
        <v>13525.88</v>
      </c>
      <c r="I218" s="26">
        <f>48720/8285030</f>
        <v>5.880485647004296E-3</v>
      </c>
      <c r="J218" s="19">
        <v>11.45</v>
      </c>
      <c r="K218" s="26">
        <f>3630/351573</f>
        <v>1.0325024959254549E-2</v>
      </c>
      <c r="L218" s="19">
        <v>2376</v>
      </c>
      <c r="M218" s="19">
        <v>1011</v>
      </c>
      <c r="N218" s="22">
        <v>0</v>
      </c>
      <c r="O218" s="48">
        <v>0</v>
      </c>
    </row>
    <row r="219" spans="1:15" x14ac:dyDescent="0.25">
      <c r="A219" s="52"/>
      <c r="B219" s="19" t="s">
        <v>196</v>
      </c>
      <c r="C219" s="21"/>
      <c r="D219" s="40">
        <v>0.13118710207434775</v>
      </c>
      <c r="E219" s="19">
        <f>VLOOKUP(B219,'[1]Atlas Brasil'!B$3:C$248,2,0)</f>
        <v>0.68600000000000005</v>
      </c>
      <c r="F219" s="16" t="s">
        <v>343</v>
      </c>
      <c r="G219" s="19">
        <v>1678</v>
      </c>
      <c r="H219" s="25">
        <v>17697.490000000002</v>
      </c>
      <c r="I219" s="26">
        <f>44934/8285030</f>
        <v>5.4235168732038389E-3</v>
      </c>
      <c r="J219" s="19">
        <v>10.34</v>
      </c>
      <c r="K219" s="26">
        <f>2327/351573</f>
        <v>6.6188245399959609E-3</v>
      </c>
      <c r="L219" s="19">
        <v>1633</v>
      </c>
      <c r="M219" s="19">
        <v>999</v>
      </c>
      <c r="N219" s="22">
        <v>0</v>
      </c>
      <c r="O219" s="48">
        <v>0</v>
      </c>
    </row>
    <row r="220" spans="1:15" ht="16.5" customHeight="1" x14ac:dyDescent="0.25">
      <c r="A220" s="52"/>
      <c r="B220" s="19" t="s">
        <v>197</v>
      </c>
      <c r="C220" s="21"/>
      <c r="D220" s="39">
        <v>0.18191995521970353</v>
      </c>
      <c r="E220" s="19">
        <f>VLOOKUP(B220,'[1]Atlas Brasil'!B$3:C$248,2,0)</f>
        <v>0.72899999999999998</v>
      </c>
      <c r="F220" s="16" t="s">
        <v>378</v>
      </c>
      <c r="G220" s="19">
        <v>1614</v>
      </c>
      <c r="H220" s="25">
        <v>19679.009999999998</v>
      </c>
      <c r="I220" s="26">
        <f>50103/8285030</f>
        <v>6.0474132260233213E-3</v>
      </c>
      <c r="J220" s="19">
        <v>11.75</v>
      </c>
      <c r="K220" s="26">
        <f>2484/351573</f>
        <v>7.0653889803824529E-3</v>
      </c>
      <c r="L220" s="19">
        <v>1506</v>
      </c>
      <c r="M220" s="19">
        <v>973</v>
      </c>
      <c r="N220" s="21" t="s">
        <v>253</v>
      </c>
      <c r="O220" s="48">
        <v>0</v>
      </c>
    </row>
    <row r="221" spans="1:15" ht="16.5" customHeight="1" x14ac:dyDescent="0.25">
      <c r="A221" s="52"/>
      <c r="B221" s="19" t="s">
        <v>198</v>
      </c>
      <c r="C221" s="21"/>
      <c r="D221" s="39">
        <v>0.1745640913401906</v>
      </c>
      <c r="E221" s="19">
        <f>VLOOKUP(B221,'[1]Atlas Brasil'!B$3:C$248,2,0)</f>
        <v>0.66800000000000004</v>
      </c>
      <c r="F221" s="16" t="s">
        <v>345</v>
      </c>
      <c r="G221" s="19">
        <v>5147</v>
      </c>
      <c r="H221" s="25">
        <v>26788.69</v>
      </c>
      <c r="I221" s="26">
        <f>208818/8285030</f>
        <v>2.5204253937523461E-2</v>
      </c>
      <c r="J221" s="19">
        <v>13.48</v>
      </c>
      <c r="K221" s="26">
        <f>3699/351573</f>
        <v>1.0521285764265174E-2</v>
      </c>
      <c r="L221" s="19">
        <v>4916</v>
      </c>
      <c r="M221" s="19">
        <v>2976</v>
      </c>
      <c r="N221" s="22">
        <v>0</v>
      </c>
      <c r="O221" s="48">
        <v>0</v>
      </c>
    </row>
    <row r="222" spans="1:15" ht="16.5" customHeight="1" x14ac:dyDescent="0.25">
      <c r="A222" s="52"/>
      <c r="B222" s="19" t="s">
        <v>199</v>
      </c>
      <c r="C222" s="21"/>
      <c r="D222" s="39">
        <v>0.17424024542229788</v>
      </c>
      <c r="E222" s="19">
        <f>VLOOKUP(B222,'[1]Atlas Brasil'!B$3:C$248,2,0)</f>
        <v>0.68500000000000005</v>
      </c>
      <c r="F222" s="16" t="s">
        <v>281</v>
      </c>
      <c r="G222" s="19">
        <v>4077</v>
      </c>
      <c r="H222" s="25">
        <v>16436.75</v>
      </c>
      <c r="I222" s="26">
        <f>100675/8285030</f>
        <v>1.215143457537269E-2</v>
      </c>
      <c r="J222" s="19">
        <v>13.73</v>
      </c>
      <c r="K222" s="26">
        <f>13292/351573</f>
        <v>3.7807226379727679E-2</v>
      </c>
      <c r="L222" s="19">
        <v>4078</v>
      </c>
      <c r="M222" s="19">
        <v>2244</v>
      </c>
      <c r="N222" s="22">
        <v>0</v>
      </c>
      <c r="O222" s="48">
        <v>0</v>
      </c>
    </row>
    <row r="223" spans="1:15" ht="16.5" customHeight="1" x14ac:dyDescent="0.25">
      <c r="A223" s="52"/>
      <c r="B223" s="19" t="s">
        <v>200</v>
      </c>
      <c r="C223" s="21"/>
      <c r="D223" s="39">
        <v>0.16108443834781283</v>
      </c>
      <c r="E223" s="19">
        <f>VLOOKUP(B223,'[1]Atlas Brasil'!B$3:C$248,2,0)</f>
        <v>0.73199999999999998</v>
      </c>
      <c r="F223" s="16" t="s">
        <v>358</v>
      </c>
      <c r="G223" s="19">
        <v>7547</v>
      </c>
      <c r="H223" s="25">
        <v>112227.44</v>
      </c>
      <c r="I223" s="26">
        <f>156303/8285030</f>
        <v>1.8865713220109041E-2</v>
      </c>
      <c r="J223" s="19">
        <v>9.94</v>
      </c>
      <c r="K223" s="26">
        <f>16557/351573</f>
        <v>4.7094060124070962E-2</v>
      </c>
      <c r="L223" s="19">
        <v>8778</v>
      </c>
      <c r="M223" s="19">
        <v>2802</v>
      </c>
      <c r="N223" s="22">
        <v>0</v>
      </c>
      <c r="O223" s="48">
        <v>0</v>
      </c>
    </row>
    <row r="224" spans="1:15" ht="16.5" customHeight="1" x14ac:dyDescent="0.25">
      <c r="A224" s="52"/>
      <c r="B224" s="19" t="s">
        <v>201</v>
      </c>
      <c r="C224" s="21"/>
      <c r="D224" s="40">
        <v>0.13534103410340961</v>
      </c>
      <c r="E224" s="19">
        <f>VLOOKUP(B224,'[1]Atlas Brasil'!B$3:C$248,2,0)</f>
        <v>0.74299999999999999</v>
      </c>
      <c r="F224" s="16" t="s">
        <v>379</v>
      </c>
      <c r="G224" s="19">
        <v>20627</v>
      </c>
      <c r="H224" s="25">
        <v>18040.93</v>
      </c>
      <c r="I224" s="26">
        <f>581243/8285030</f>
        <v>7.0155811143713415E-2</v>
      </c>
      <c r="J224" s="19">
        <v>11.01</v>
      </c>
      <c r="K224" s="26">
        <f>31531/351573</f>
        <v>8.968549917086921E-2</v>
      </c>
      <c r="L224" s="19">
        <v>28545</v>
      </c>
      <c r="M224" s="19">
        <v>2729</v>
      </c>
      <c r="N224" s="21" t="s">
        <v>246</v>
      </c>
      <c r="O224" s="48">
        <v>0</v>
      </c>
    </row>
    <row r="225" spans="1:15" ht="16.5" customHeight="1" x14ac:dyDescent="0.25">
      <c r="A225" s="52"/>
      <c r="B225" s="19" t="s">
        <v>202</v>
      </c>
      <c r="C225" s="21"/>
      <c r="D225" s="40">
        <v>0.14298115079365084</v>
      </c>
      <c r="E225" s="19">
        <f>VLOOKUP(B225,'[1]Atlas Brasil'!B$3:C$248,2,0)</f>
        <v>0.71099999999999997</v>
      </c>
      <c r="F225" s="16" t="s">
        <v>362</v>
      </c>
      <c r="G225" s="19">
        <v>1900</v>
      </c>
      <c r="H225" s="25">
        <v>15650.05</v>
      </c>
      <c r="I225" s="26">
        <f>45636/8285030</f>
        <v>5.5082480087579643E-3</v>
      </c>
      <c r="J225" s="19">
        <v>12.13</v>
      </c>
      <c r="K225" s="26">
        <f>2800/351573</f>
        <v>7.9642065801412507E-3</v>
      </c>
      <c r="L225" s="19">
        <v>2249</v>
      </c>
      <c r="M225" s="19">
        <v>638</v>
      </c>
      <c r="N225" s="22">
        <v>0</v>
      </c>
      <c r="O225" s="48">
        <v>0</v>
      </c>
    </row>
    <row r="226" spans="1:15" ht="16.5" customHeight="1" x14ac:dyDescent="0.25">
      <c r="A226" s="52"/>
      <c r="B226" s="19" t="s">
        <v>203</v>
      </c>
      <c r="C226" s="21"/>
      <c r="D226" s="39">
        <v>0.1735743680188119</v>
      </c>
      <c r="E226" s="19">
        <f>VLOOKUP(B226,'[1]Atlas Brasil'!B$3:C$248,2,0)</f>
        <v>0.67700000000000005</v>
      </c>
      <c r="F226" s="16" t="s">
        <v>299</v>
      </c>
      <c r="G226" s="19">
        <v>4969</v>
      </c>
      <c r="H226" s="25">
        <v>21765.1</v>
      </c>
      <c r="I226" s="26">
        <f>142366/8285030</f>
        <v>1.7183522570226057E-2</v>
      </c>
      <c r="J226" s="19">
        <v>14.98</v>
      </c>
      <c r="K226" s="26">
        <f>4997/351573</f>
        <v>1.4213264386059226E-2</v>
      </c>
      <c r="L226" s="19">
        <v>5536</v>
      </c>
      <c r="M226" s="19">
        <v>2299</v>
      </c>
      <c r="N226" s="22">
        <v>0</v>
      </c>
      <c r="O226" s="48">
        <v>0</v>
      </c>
    </row>
    <row r="227" spans="1:15" ht="16.5" customHeight="1" x14ac:dyDescent="0.25">
      <c r="A227" s="52"/>
      <c r="B227" s="19" t="s">
        <v>204</v>
      </c>
      <c r="C227" s="21"/>
      <c r="D227" s="40">
        <v>0.11862956960201695</v>
      </c>
      <c r="E227" s="19">
        <f>VLOOKUP(B227,'[1]Atlas Brasil'!B$3:C$248,2,0)</f>
        <v>0.70399999999999996</v>
      </c>
      <c r="F227" s="16" t="s">
        <v>330</v>
      </c>
      <c r="G227" s="19">
        <v>1733</v>
      </c>
      <c r="H227" s="25">
        <v>32392.68</v>
      </c>
      <c r="I227" s="26">
        <f>83476/8285030</f>
        <v>1.0075521754296605E-2</v>
      </c>
      <c r="J227" s="19">
        <v>12.97</v>
      </c>
      <c r="K227" s="26">
        <f>2370/351573</f>
        <v>6.7411319981909874E-3</v>
      </c>
      <c r="L227" s="19">
        <v>1535</v>
      </c>
      <c r="M227" s="19">
        <v>1128</v>
      </c>
      <c r="N227" s="22">
        <v>0</v>
      </c>
      <c r="O227" s="48">
        <v>0</v>
      </c>
    </row>
    <row r="228" spans="1:15" ht="16.5" customHeight="1" x14ac:dyDescent="0.25">
      <c r="A228" s="52"/>
      <c r="B228" s="19" t="s">
        <v>205</v>
      </c>
      <c r="C228" s="21"/>
      <c r="D228" s="40">
        <v>0.14319403312493176</v>
      </c>
      <c r="E228" s="19">
        <f>VLOOKUP(B228,'[1]Atlas Brasil'!B$3:C$248,2,0)</f>
        <v>0.70699999999999996</v>
      </c>
      <c r="F228" s="16" t="s">
        <v>317</v>
      </c>
      <c r="G228" s="19">
        <v>3958</v>
      </c>
      <c r="H228" s="25">
        <v>41228.74</v>
      </c>
      <c r="I228" s="26">
        <f>258216/8285030</f>
        <v>3.1166573929122768E-2</v>
      </c>
      <c r="J228" s="19">
        <v>12.12</v>
      </c>
      <c r="K228" s="26">
        <f>6048/351573</f>
        <v>1.7202686213105101E-2</v>
      </c>
      <c r="L228" s="19">
        <v>4154</v>
      </c>
      <c r="M228" s="19">
        <v>2010</v>
      </c>
      <c r="N228" s="22">
        <v>0</v>
      </c>
      <c r="O228" s="48">
        <v>0</v>
      </c>
    </row>
    <row r="229" spans="1:15" ht="16.5" customHeight="1" x14ac:dyDescent="0.25">
      <c r="A229" s="52"/>
      <c r="B229" s="19" t="s">
        <v>206</v>
      </c>
      <c r="C229" s="21"/>
      <c r="D229" s="39">
        <v>0.17706393544382407</v>
      </c>
      <c r="E229" s="19">
        <f>VLOOKUP(B229,'[1]Atlas Brasil'!B$3:C$248,2,0)</f>
        <v>0.68899999999999995</v>
      </c>
      <c r="F229" s="16" t="s">
        <v>341</v>
      </c>
      <c r="G229" s="19">
        <v>1900</v>
      </c>
      <c r="H229" s="25">
        <v>15168.18</v>
      </c>
      <c r="I229" s="26">
        <f>45717/8285030</f>
        <v>5.5180246782449791E-3</v>
      </c>
      <c r="J229" s="19">
        <v>14.9</v>
      </c>
      <c r="K229" s="26">
        <f>2879/351573</f>
        <v>8.1889109800809511E-3</v>
      </c>
      <c r="L229" s="19">
        <v>2358</v>
      </c>
      <c r="M229" s="19">
        <v>642</v>
      </c>
      <c r="N229" s="22">
        <v>0</v>
      </c>
      <c r="O229" s="48">
        <v>0</v>
      </c>
    </row>
    <row r="230" spans="1:15" ht="16.5" customHeight="1" x14ac:dyDescent="0.25">
      <c r="A230" s="52"/>
      <c r="B230" s="19" t="s">
        <v>207</v>
      </c>
      <c r="C230" s="21"/>
      <c r="D230" s="40">
        <v>0.14587292967689289</v>
      </c>
      <c r="E230" s="19">
        <f>VLOOKUP(B230,'[1]Atlas Brasil'!B$3:C$248,2,0)</f>
        <v>0.74299999999999999</v>
      </c>
      <c r="F230" s="16" t="s">
        <v>379</v>
      </c>
      <c r="G230" s="19">
        <v>12565</v>
      </c>
      <c r="H230" s="25">
        <v>22218.87</v>
      </c>
      <c r="I230" s="26">
        <f>428646/8285030</f>
        <v>5.1737410727541122E-2</v>
      </c>
      <c r="J230" s="19">
        <v>11.46</v>
      </c>
      <c r="K230" s="26">
        <f>18478/351573</f>
        <v>5.2558074709946438E-2</v>
      </c>
      <c r="L230" s="19">
        <v>15207</v>
      </c>
      <c r="M230" s="19">
        <v>3946</v>
      </c>
      <c r="N230" s="22">
        <v>0</v>
      </c>
      <c r="O230" s="48">
        <v>0</v>
      </c>
    </row>
    <row r="231" spans="1:15" ht="16.5" customHeight="1" x14ac:dyDescent="0.25">
      <c r="A231" s="52"/>
      <c r="B231" s="19" t="s">
        <v>208</v>
      </c>
      <c r="C231" s="21"/>
      <c r="D231" s="39">
        <v>0.16972290138549326</v>
      </c>
      <c r="E231" s="19">
        <f>VLOOKUP(B231,'[1]Atlas Brasil'!B$3:C$248,2,0)</f>
        <v>0.69599999999999995</v>
      </c>
      <c r="F231" s="16" t="s">
        <v>300</v>
      </c>
      <c r="G231" s="19">
        <v>1110</v>
      </c>
      <c r="H231" s="25">
        <v>20486.080000000002</v>
      </c>
      <c r="I231" s="26">
        <f>34499/8285030</f>
        <v>4.1640163041051148E-3</v>
      </c>
      <c r="J231" s="19">
        <v>14.32</v>
      </c>
      <c r="K231" s="26">
        <f>1529/351573</f>
        <v>4.3490256646557049E-3</v>
      </c>
      <c r="L231" s="19">
        <v>1133</v>
      </c>
      <c r="M231" s="19">
        <v>630</v>
      </c>
      <c r="N231" s="22">
        <v>0</v>
      </c>
      <c r="O231" s="48">
        <v>0</v>
      </c>
    </row>
    <row r="232" spans="1:15" x14ac:dyDescent="0.25">
      <c r="A232" s="52"/>
      <c r="B232" s="19" t="s">
        <v>209</v>
      </c>
      <c r="C232" s="21"/>
      <c r="D232" s="40">
        <v>0.12978067790465833</v>
      </c>
      <c r="E232" s="19">
        <f>VLOOKUP(B232,'[1]Atlas Brasil'!B$3:C$248,2,0)</f>
        <v>0.70699999999999996</v>
      </c>
      <c r="F232" s="16" t="s">
        <v>317</v>
      </c>
      <c r="G232" s="19">
        <v>5264</v>
      </c>
      <c r="H232" s="25">
        <v>34807.440000000002</v>
      </c>
      <c r="I232" s="26">
        <f>286465/8285030</f>
        <v>3.4576217587624906E-2</v>
      </c>
      <c r="J232" s="19">
        <v>10.69</v>
      </c>
      <c r="K232" s="26">
        <f>8055/351573</f>
        <v>2.2911315715370636E-2</v>
      </c>
      <c r="L232" s="19">
        <v>5325</v>
      </c>
      <c r="M232" s="19">
        <v>2662</v>
      </c>
      <c r="N232" s="22">
        <v>0</v>
      </c>
      <c r="O232" s="48">
        <v>0</v>
      </c>
    </row>
    <row r="233" spans="1:15" ht="16.5" customHeight="1" x14ac:dyDescent="0.25">
      <c r="A233" s="52"/>
      <c r="B233" s="19" t="s">
        <v>210</v>
      </c>
      <c r="C233" s="21"/>
      <c r="D233" s="40">
        <v>0.15461366538952784</v>
      </c>
      <c r="E233" s="19">
        <f>VLOOKUP(B233,'[1]Atlas Brasil'!B$3:C$248,2,0)</f>
        <v>0.70599999999999996</v>
      </c>
      <c r="F233" s="16" t="s">
        <v>286</v>
      </c>
      <c r="G233" s="19">
        <v>3279</v>
      </c>
      <c r="H233" s="25">
        <v>16565.28</v>
      </c>
      <c r="I233" s="26">
        <f>78818/8285030</f>
        <v>9.5133029089816204E-3</v>
      </c>
      <c r="J233" s="19">
        <v>13.51</v>
      </c>
      <c r="K233" s="26">
        <f>4290/351573</f>
        <v>1.2202302224573559E-2</v>
      </c>
      <c r="L233" s="19">
        <v>3275</v>
      </c>
      <c r="M233" s="19">
        <v>1732</v>
      </c>
      <c r="N233" s="22">
        <v>0</v>
      </c>
      <c r="O233" s="48">
        <v>0</v>
      </c>
    </row>
    <row r="234" spans="1:15" ht="16.5" customHeight="1" x14ac:dyDescent="0.25">
      <c r="A234" s="52"/>
      <c r="B234" s="19" t="s">
        <v>211</v>
      </c>
      <c r="C234" s="21"/>
      <c r="D234" s="40">
        <v>0.1425009321401936</v>
      </c>
      <c r="E234" s="19">
        <f>VLOOKUP(B234,'[1]Atlas Brasil'!B$3:C$248,2,0)</f>
        <v>0.71</v>
      </c>
      <c r="F234" s="16" t="s">
        <v>360</v>
      </c>
      <c r="G234" s="19">
        <v>5171</v>
      </c>
      <c r="H234" s="25">
        <v>19143.560000000001</v>
      </c>
      <c r="I234" s="26">
        <f>167449/8285030</f>
        <v>2.0211031221371557E-2</v>
      </c>
      <c r="J234" s="19">
        <v>11.7</v>
      </c>
      <c r="K234" s="26">
        <f>9142/351573</f>
        <v>2.6003134484161184E-2</v>
      </c>
      <c r="L234" s="19">
        <v>6187</v>
      </c>
      <c r="M234" s="19">
        <v>1687</v>
      </c>
      <c r="N234" s="22">
        <v>0</v>
      </c>
      <c r="O234" s="48">
        <v>0</v>
      </c>
    </row>
    <row r="235" spans="1:15" ht="16.5" customHeight="1" x14ac:dyDescent="0.25">
      <c r="A235" s="52"/>
      <c r="B235" s="19" t="s">
        <v>212</v>
      </c>
      <c r="C235" s="21"/>
      <c r="D235" s="40">
        <v>0.13998937462052263</v>
      </c>
      <c r="E235" s="19">
        <f>VLOOKUP(B235,'[1]Atlas Brasil'!B$3:C$248,2,0)</f>
        <v>0.69899999999999995</v>
      </c>
      <c r="F235" s="16" t="s">
        <v>291</v>
      </c>
      <c r="G235" s="19">
        <v>2269</v>
      </c>
      <c r="H235" s="25">
        <v>17902.580000000002</v>
      </c>
      <c r="I235" s="26">
        <f>58917/8285030</f>
        <v>7.1112597057584586E-3</v>
      </c>
      <c r="J235" s="19">
        <v>12.21</v>
      </c>
      <c r="K235" s="26">
        <f>2913/351573</f>
        <v>8.2856192028398085E-3</v>
      </c>
      <c r="L235" s="19">
        <v>2274</v>
      </c>
      <c r="M235" s="19">
        <v>1245</v>
      </c>
      <c r="N235" s="22">
        <v>0</v>
      </c>
      <c r="O235" s="48">
        <v>0</v>
      </c>
    </row>
    <row r="236" spans="1:15" x14ac:dyDescent="0.25">
      <c r="A236" s="52"/>
      <c r="B236" s="19" t="s">
        <v>213</v>
      </c>
      <c r="C236" s="21"/>
      <c r="D236" s="39">
        <v>0.1691229010360846</v>
      </c>
      <c r="E236" s="19">
        <f>VLOOKUP(B236,'[1]Atlas Brasil'!B$3:C$248,2,0)</f>
        <v>0.71299999999999997</v>
      </c>
      <c r="F236" s="16" t="s">
        <v>295</v>
      </c>
      <c r="G236" s="19">
        <v>2277</v>
      </c>
      <c r="H236" s="25">
        <v>28429.38</v>
      </c>
      <c r="I236" s="26">
        <f>99702/8285030</f>
        <v>1.2033993841905219E-2</v>
      </c>
      <c r="J236" s="19">
        <v>8.56</v>
      </c>
      <c r="K236" s="26">
        <f>3464/351573</f>
        <v>9.85286128343189E-3</v>
      </c>
      <c r="L236" s="19">
        <v>2180</v>
      </c>
      <c r="M236" s="19">
        <v>1191</v>
      </c>
      <c r="N236" s="22">
        <v>0</v>
      </c>
      <c r="O236" s="48">
        <v>0</v>
      </c>
    </row>
    <row r="237" spans="1:15" ht="15.75" customHeight="1" x14ac:dyDescent="0.25">
      <c r="A237" s="52"/>
      <c r="B237" s="19" t="s">
        <v>20</v>
      </c>
      <c r="C237" s="21"/>
      <c r="D237" s="40">
        <v>0.14137122765895305</v>
      </c>
      <c r="E237" s="19">
        <f>VLOOKUP(B237,'[1]Atlas Brasil'!B$3:C$248,2,0)</f>
        <v>0.69799999999999995</v>
      </c>
      <c r="F237" s="16" t="s">
        <v>352</v>
      </c>
      <c r="G237" s="19">
        <v>15724</v>
      </c>
      <c r="H237" s="25">
        <v>30667.93</v>
      </c>
      <c r="I237" s="26">
        <f>823587/8285030</f>
        <v>9.9406640651874531E-2</v>
      </c>
      <c r="J237" s="19">
        <v>8.98</v>
      </c>
      <c r="K237" s="26">
        <f>28858/351573</f>
        <v>8.2082526246327225E-2</v>
      </c>
      <c r="L237" s="19">
        <v>19166</v>
      </c>
      <c r="M237" s="19">
        <v>4172</v>
      </c>
      <c r="N237" s="22">
        <v>0</v>
      </c>
      <c r="O237" s="48">
        <v>0</v>
      </c>
    </row>
    <row r="238" spans="1:15" ht="16.5" customHeight="1" x14ac:dyDescent="0.25">
      <c r="A238" s="52"/>
      <c r="B238" s="19" t="s">
        <v>214</v>
      </c>
      <c r="C238" s="21"/>
      <c r="D238" s="40">
        <v>0.14994692144373689</v>
      </c>
      <c r="E238" s="19">
        <f>VLOOKUP(B238,'[1]Atlas Brasil'!B$3:C$248,2,0)</f>
        <v>0.72199999999999998</v>
      </c>
      <c r="F238" s="16" t="s">
        <v>359</v>
      </c>
      <c r="G238" s="19">
        <v>2354</v>
      </c>
      <c r="H238" s="25">
        <v>31401.45</v>
      </c>
      <c r="I238" s="26">
        <f>115055/8285030</f>
        <v>1.3887095158376011E-2</v>
      </c>
      <c r="J238" s="19">
        <v>12.02</v>
      </c>
      <c r="K238" s="26">
        <f>3585/351573</f>
        <v>1.0197028782073708E-2</v>
      </c>
      <c r="L238" s="19">
        <v>2699</v>
      </c>
      <c r="M238" s="19">
        <v>858</v>
      </c>
      <c r="N238" s="22">
        <v>0</v>
      </c>
      <c r="O238" s="48">
        <v>0</v>
      </c>
    </row>
    <row r="239" spans="1:15" ht="16.5" customHeight="1" x14ac:dyDescent="0.25">
      <c r="A239" s="52"/>
      <c r="B239" s="19" t="s">
        <v>215</v>
      </c>
      <c r="C239" s="21"/>
      <c r="D239" s="40">
        <v>0.13012519561815272</v>
      </c>
      <c r="E239" s="19">
        <f>VLOOKUP(B239,'[1]Atlas Brasil'!B$3:C$248,2,0)</f>
        <v>0.67200000000000004</v>
      </c>
      <c r="F239" s="16" t="s">
        <v>377</v>
      </c>
      <c r="G239" s="19">
        <v>7064</v>
      </c>
      <c r="H239" s="25">
        <v>72605.27</v>
      </c>
      <c r="I239" s="26">
        <f>813905/8285030</f>
        <v>9.823802689911805E-2</v>
      </c>
      <c r="J239" s="19">
        <v>10.7</v>
      </c>
      <c r="K239" s="26">
        <f>10988/351573</f>
        <v>3.1253822108068596E-2</v>
      </c>
      <c r="L239" s="19">
        <v>7987</v>
      </c>
      <c r="M239" s="19">
        <v>2876</v>
      </c>
      <c r="N239" s="22">
        <v>0</v>
      </c>
      <c r="O239" s="48">
        <v>0</v>
      </c>
    </row>
    <row r="240" spans="1:15" ht="15.75" customHeight="1" x14ac:dyDescent="0.25">
      <c r="A240" s="52"/>
      <c r="B240" s="19" t="s">
        <v>21</v>
      </c>
      <c r="C240" s="29"/>
      <c r="D240" s="39">
        <v>0.16563313428265092</v>
      </c>
      <c r="E240" s="19">
        <f>VLOOKUP(B240,'[1]Atlas Brasil'!B$3:C$248,2,0)</f>
        <v>0.72099999999999997</v>
      </c>
      <c r="F240" s="16" t="s">
        <v>288</v>
      </c>
      <c r="G240" s="19">
        <v>7303</v>
      </c>
      <c r="H240" s="25">
        <v>31821.439999999999</v>
      </c>
      <c r="I240" s="26">
        <f>352963/8285030</f>
        <v>4.2602501137593951E-2</v>
      </c>
      <c r="J240" s="19">
        <v>13.29</v>
      </c>
      <c r="K240" s="26">
        <f>10385/351573</f>
        <v>2.9538673333845317E-2</v>
      </c>
      <c r="L240" s="19">
        <v>9071</v>
      </c>
      <c r="M240" s="19">
        <v>2195</v>
      </c>
      <c r="N240" s="22">
        <v>0</v>
      </c>
      <c r="O240" s="48">
        <v>0</v>
      </c>
    </row>
    <row r="241" spans="1:15" ht="16.5" customHeight="1" x14ac:dyDescent="0.25">
      <c r="A241" s="52"/>
      <c r="B241" s="19" t="s">
        <v>216</v>
      </c>
      <c r="C241" s="21"/>
      <c r="D241" s="40">
        <v>0.1161616161616157</v>
      </c>
      <c r="E241" s="19">
        <f>VLOOKUP(B241,'[1]Atlas Brasil'!B$3:C$248,2,0)</f>
        <v>0.73599999999999999</v>
      </c>
      <c r="F241" s="16" t="s">
        <v>380</v>
      </c>
      <c r="G241" s="19">
        <v>4924</v>
      </c>
      <c r="H241" s="25">
        <v>16517.38</v>
      </c>
      <c r="I241" s="26">
        <f>128687/8285030</f>
        <v>1.5532472423153568E-2</v>
      </c>
      <c r="J241" s="19">
        <v>11.57</v>
      </c>
      <c r="K241" s="26">
        <f>7637/351573</f>
        <v>2.1722373447335262E-2</v>
      </c>
      <c r="L241" s="19">
        <v>6068</v>
      </c>
      <c r="M241" s="19">
        <v>1482</v>
      </c>
      <c r="N241" s="22">
        <v>0</v>
      </c>
      <c r="O241" s="48">
        <v>0</v>
      </c>
    </row>
    <row r="242" spans="1:15" x14ac:dyDescent="0.25">
      <c r="A242" s="52"/>
      <c r="B242" s="19" t="s">
        <v>217</v>
      </c>
      <c r="C242" s="21"/>
      <c r="D242" s="40">
        <v>9.8915431081823768E-2</v>
      </c>
      <c r="E242" s="19">
        <f>VLOOKUP(B242,'[1]Atlas Brasil'!B$3:C$248,2,0)</f>
        <v>0.70599999999999996</v>
      </c>
      <c r="F242" s="16" t="s">
        <v>286</v>
      </c>
      <c r="G242" s="19">
        <v>3772</v>
      </c>
      <c r="H242" s="25">
        <v>14794.64</v>
      </c>
      <c r="I242" s="26">
        <v>0.01</v>
      </c>
      <c r="J242" s="19">
        <v>11.62</v>
      </c>
      <c r="K242" s="26">
        <v>0.02</v>
      </c>
      <c r="L242" s="19">
        <v>5206</v>
      </c>
      <c r="M242" s="19">
        <v>545</v>
      </c>
      <c r="N242" s="22">
        <v>0</v>
      </c>
      <c r="O242" s="48">
        <v>0</v>
      </c>
    </row>
    <row r="243" spans="1:15" x14ac:dyDescent="0.25">
      <c r="A243" s="52"/>
      <c r="B243" s="19" t="s">
        <v>218</v>
      </c>
      <c r="C243" s="21"/>
      <c r="D243" s="40">
        <v>0.13993569612681367</v>
      </c>
      <c r="E243" s="19">
        <f>VLOOKUP(B243,'[1]Atlas Brasil'!B$3:C$248,2,0)</f>
        <v>0.71299999999999997</v>
      </c>
      <c r="F243" s="16" t="s">
        <v>295</v>
      </c>
      <c r="G243" s="19">
        <v>3088</v>
      </c>
      <c r="H243" s="25">
        <v>39387.120000000003</v>
      </c>
      <c r="I243" s="26">
        <f>206901/8285030</f>
        <v>2.4972872759664116E-2</v>
      </c>
      <c r="J243" s="19">
        <v>11.71</v>
      </c>
      <c r="K243" s="26">
        <f>5459/351573</f>
        <v>1.5527358471782531E-2</v>
      </c>
      <c r="L243" s="19">
        <v>3811</v>
      </c>
      <c r="M243" s="19">
        <v>951</v>
      </c>
      <c r="N243" s="22">
        <v>0</v>
      </c>
      <c r="O243" s="48">
        <v>0</v>
      </c>
    </row>
    <row r="244" spans="1:15" x14ac:dyDescent="0.25">
      <c r="A244" s="52"/>
      <c r="B244" s="19" t="s">
        <v>219</v>
      </c>
      <c r="C244" s="21"/>
      <c r="D244" s="39">
        <v>0.15831200227531192</v>
      </c>
      <c r="E244" s="19">
        <f>VLOOKUP(B244,'[1]Atlas Brasil'!B$3:C$248,2,0)</f>
        <v>0.72399999999999998</v>
      </c>
      <c r="F244" s="16" t="s">
        <v>374</v>
      </c>
      <c r="G244" s="19">
        <v>1076</v>
      </c>
      <c r="H244" s="25">
        <v>29900.52</v>
      </c>
      <c r="I244" s="26">
        <f>46974/8285030</f>
        <v>5.6697441047286494E-3</v>
      </c>
      <c r="J244" s="19">
        <v>11.07</v>
      </c>
      <c r="K244" s="26">
        <f>1381/351573</f>
        <v>3.9280604597053811E-3</v>
      </c>
      <c r="L244" s="19">
        <v>1277</v>
      </c>
      <c r="M244" s="19">
        <v>412</v>
      </c>
      <c r="N244" s="22">
        <v>0</v>
      </c>
      <c r="O244" s="48">
        <v>0</v>
      </c>
    </row>
    <row r="245" spans="1:15" ht="36.75" customHeight="1" x14ac:dyDescent="0.25">
      <c r="A245" s="52"/>
      <c r="B245" s="19" t="s">
        <v>272</v>
      </c>
      <c r="C245" s="21"/>
      <c r="D245" s="41">
        <v>0.13641115980636395</v>
      </c>
      <c r="E245" s="19">
        <f>VLOOKUP(B245,'[1]Atlas Brasil'!B$3:C$248,2,0)</f>
        <v>0.73099999999999998</v>
      </c>
      <c r="F245" s="16" t="s">
        <v>368</v>
      </c>
      <c r="G245" s="19">
        <v>19965</v>
      </c>
      <c r="H245" s="25">
        <v>23906</v>
      </c>
      <c r="I245" s="26">
        <f>784308/8285030</f>
        <v>9.4665680148412257E-2</v>
      </c>
      <c r="J245" s="19">
        <v>8.89</v>
      </c>
      <c r="K245" s="26">
        <f>33817/351573</f>
        <v>9.6187704971655963E-2</v>
      </c>
      <c r="L245" s="19">
        <v>26585</v>
      </c>
      <c r="M245" s="19">
        <v>3449</v>
      </c>
      <c r="N245" s="21" t="s">
        <v>254</v>
      </c>
      <c r="O245" s="48">
        <v>0</v>
      </c>
    </row>
    <row r="246" spans="1:15" ht="16.5" customHeight="1" x14ac:dyDescent="0.25">
      <c r="A246" s="52"/>
      <c r="B246" s="19" t="s">
        <v>220</v>
      </c>
      <c r="C246" s="21"/>
      <c r="D246" s="40">
        <v>0.15064102564102549</v>
      </c>
      <c r="E246" s="19">
        <f>VLOOKUP(B246,'[1]Atlas Brasil'!B$3:C$248,2,0)</f>
        <v>0.69699999999999995</v>
      </c>
      <c r="F246" s="16" t="s">
        <v>285</v>
      </c>
      <c r="G246" s="19">
        <v>3145</v>
      </c>
      <c r="H246" s="25">
        <v>18252.03</v>
      </c>
      <c r="I246" s="26">
        <f>88285/8285030</f>
        <v>1.0655966242729357E-2</v>
      </c>
      <c r="J246" s="19">
        <v>11.35</v>
      </c>
      <c r="K246" s="26">
        <f>4598/351573</f>
        <v>1.3078364948389097E-2</v>
      </c>
      <c r="L246" s="19">
        <v>3891</v>
      </c>
      <c r="M246" s="19">
        <v>948</v>
      </c>
      <c r="N246" s="22">
        <v>0</v>
      </c>
      <c r="O246" s="48">
        <v>0</v>
      </c>
    </row>
    <row r="247" spans="1:15" s="15" customFormat="1" x14ac:dyDescent="0.25">
      <c r="A247" s="69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2"/>
    </row>
    <row r="248" spans="1:15" ht="16.5" customHeight="1" x14ac:dyDescent="0.25">
      <c r="A248" s="50" t="s">
        <v>418</v>
      </c>
      <c r="B248" s="6" t="s">
        <v>170</v>
      </c>
      <c r="C248" s="7"/>
      <c r="D248" s="43">
        <v>0.18778935185185186</v>
      </c>
      <c r="E248" s="6">
        <f>VLOOKUP(B248,'[1]Atlas Brasil'!B$3:C$248,2,0)</f>
        <v>0.69299999999999995</v>
      </c>
      <c r="F248" s="23" t="s">
        <v>308</v>
      </c>
      <c r="G248" s="6">
        <v>2435</v>
      </c>
      <c r="H248" s="12">
        <v>13826.1</v>
      </c>
      <c r="I248" s="9">
        <v>0.02</v>
      </c>
      <c r="J248" s="6">
        <v>14.63</v>
      </c>
      <c r="K248" s="9">
        <f>3522/147039</f>
        <v>2.3952828841327812E-2</v>
      </c>
      <c r="L248" s="6">
        <v>3357</v>
      </c>
      <c r="M248" s="6">
        <v>445</v>
      </c>
      <c r="N248" s="24">
        <v>0</v>
      </c>
      <c r="O248" s="51">
        <v>0</v>
      </c>
    </row>
    <row r="249" spans="1:15" ht="16.5" customHeight="1" x14ac:dyDescent="0.25">
      <c r="A249" s="50"/>
      <c r="B249" s="6" t="s">
        <v>171</v>
      </c>
      <c r="C249" s="7"/>
      <c r="D249" s="43">
        <v>0.18569428535064283</v>
      </c>
      <c r="E249" s="6">
        <f>VLOOKUP(B249,'[1]Atlas Brasil'!B$3:C$248,2,0)</f>
        <v>0.67400000000000004</v>
      </c>
      <c r="F249" s="23" t="s">
        <v>369</v>
      </c>
      <c r="G249" s="6">
        <v>4913</v>
      </c>
      <c r="H249" s="12">
        <v>14622.77</v>
      </c>
      <c r="I249" s="9">
        <v>0.04</v>
      </c>
      <c r="J249" s="6">
        <v>16.329999999999998</v>
      </c>
      <c r="K249" s="9">
        <f>7770/147039</f>
        <v>5.2843123253014504E-2</v>
      </c>
      <c r="L249" s="6">
        <v>5199</v>
      </c>
      <c r="M249" s="6">
        <v>2311</v>
      </c>
      <c r="N249" s="24">
        <v>0</v>
      </c>
      <c r="O249" s="51">
        <v>0</v>
      </c>
    </row>
    <row r="250" spans="1:15" ht="16.5" customHeight="1" x14ac:dyDescent="0.25">
      <c r="A250" s="50"/>
      <c r="B250" s="6" t="s">
        <v>172</v>
      </c>
      <c r="C250" s="7"/>
      <c r="D250" s="43">
        <v>0.16578239138792653</v>
      </c>
      <c r="E250" s="6">
        <f>VLOOKUP(B250,'[1]Atlas Brasil'!B$3:C$248,2,0)</f>
        <v>0.67500000000000004</v>
      </c>
      <c r="F250" s="23" t="s">
        <v>381</v>
      </c>
      <c r="G250" s="6">
        <v>4817</v>
      </c>
      <c r="H250" s="12">
        <v>18184.900000000001</v>
      </c>
      <c r="I250" s="9">
        <v>0.05</v>
      </c>
      <c r="J250" s="6">
        <v>11.37</v>
      </c>
      <c r="K250" s="9">
        <f>9875/147039</f>
        <v>6.7159053040349845E-2</v>
      </c>
      <c r="L250" s="6">
        <v>6178</v>
      </c>
      <c r="M250" s="6">
        <v>1318</v>
      </c>
      <c r="N250" s="24">
        <v>0</v>
      </c>
      <c r="O250" s="51">
        <v>0</v>
      </c>
    </row>
    <row r="251" spans="1:15" ht="16.5" customHeight="1" x14ac:dyDescent="0.25">
      <c r="A251" s="50"/>
      <c r="B251" s="6" t="s">
        <v>173</v>
      </c>
      <c r="C251" s="7"/>
      <c r="D251" s="43">
        <v>0.20215691329380453</v>
      </c>
      <c r="E251" s="6">
        <f>VLOOKUP(B251,'[1]Atlas Brasil'!B$3:C$248,2,0)</f>
        <v>0.65</v>
      </c>
      <c r="F251" s="23" t="s">
        <v>382</v>
      </c>
      <c r="G251" s="6">
        <v>4457</v>
      </c>
      <c r="H251" s="8">
        <v>15673.49</v>
      </c>
      <c r="I251" s="9">
        <v>0.04</v>
      </c>
      <c r="J251" s="6">
        <v>16.579999999999998</v>
      </c>
      <c r="K251" s="9">
        <f>5637/147039</f>
        <v>3.8336767796298944E-2</v>
      </c>
      <c r="L251" s="6">
        <v>3849</v>
      </c>
      <c r="M251" s="6">
        <v>3134</v>
      </c>
      <c r="N251" s="24">
        <v>0</v>
      </c>
      <c r="O251" s="51">
        <v>0</v>
      </c>
    </row>
    <row r="252" spans="1:15" ht="15.75" customHeight="1" x14ac:dyDescent="0.25">
      <c r="A252" s="50"/>
      <c r="B252" s="6" t="s">
        <v>174</v>
      </c>
      <c r="C252" s="14"/>
      <c r="D252" s="43">
        <v>0.15998089780324573</v>
      </c>
      <c r="E252" s="6">
        <f>VLOOKUP(B252,'[1]Atlas Brasil'!B$3:C$248,2,0)</f>
        <v>0.70899999999999996</v>
      </c>
      <c r="F252" s="23" t="s">
        <v>356</v>
      </c>
      <c r="G252" s="6">
        <v>16110</v>
      </c>
      <c r="H252" s="8">
        <v>16933.45</v>
      </c>
      <c r="I252" s="9">
        <v>0.02</v>
      </c>
      <c r="J252" s="6">
        <v>12.35</v>
      </c>
      <c r="K252" s="9">
        <f>22645/147039</f>
        <v>0.15400676011126299</v>
      </c>
      <c r="L252" s="6">
        <v>18638</v>
      </c>
      <c r="M252" s="6">
        <v>6089</v>
      </c>
      <c r="N252" s="7" t="s">
        <v>256</v>
      </c>
      <c r="O252" s="51">
        <v>0</v>
      </c>
    </row>
    <row r="253" spans="1:15" ht="16.5" customHeight="1" x14ac:dyDescent="0.25">
      <c r="A253" s="50"/>
      <c r="B253" s="6" t="s">
        <v>175</v>
      </c>
      <c r="C253" s="7"/>
      <c r="D253" s="43">
        <v>0.19493035309361842</v>
      </c>
      <c r="E253" s="6">
        <f>VLOOKUP(B253,'[1]Atlas Brasil'!B$3:C$248,2,0)</f>
        <v>0.68700000000000006</v>
      </c>
      <c r="F253" s="23" t="s">
        <v>367</v>
      </c>
      <c r="G253" s="6">
        <v>1580</v>
      </c>
      <c r="H253" s="12">
        <v>13576.25</v>
      </c>
      <c r="I253" s="9">
        <v>0.01</v>
      </c>
      <c r="J253" s="6">
        <v>9.86</v>
      </c>
      <c r="K253" s="9">
        <f>1996/147039</f>
        <v>1.3574629860105143E-2</v>
      </c>
      <c r="L253" s="6">
        <v>1442</v>
      </c>
      <c r="M253" s="6">
        <v>934</v>
      </c>
      <c r="N253" s="24">
        <v>0</v>
      </c>
      <c r="O253" s="51">
        <v>0</v>
      </c>
    </row>
    <row r="254" spans="1:15" ht="16.5" customHeight="1" x14ac:dyDescent="0.25">
      <c r="A254" s="50"/>
      <c r="B254" s="6" t="s">
        <v>176</v>
      </c>
      <c r="C254" s="7"/>
      <c r="D254" s="43">
        <v>0.22681854516386893</v>
      </c>
      <c r="E254" s="6">
        <f>VLOOKUP(B254,'[1]Atlas Brasil'!B$3:C$248,2,0)</f>
        <v>0.69399999999999995</v>
      </c>
      <c r="F254" s="23" t="s">
        <v>284</v>
      </c>
      <c r="G254" s="6">
        <v>2282</v>
      </c>
      <c r="H254" s="12">
        <v>12140.45</v>
      </c>
      <c r="I254" s="9">
        <v>0.01</v>
      </c>
      <c r="J254" s="6">
        <v>11.9</v>
      </c>
      <c r="K254" s="9">
        <f>3724/147039</f>
        <v>2.5326614027570915E-2</v>
      </c>
      <c r="L254" s="6">
        <v>2645</v>
      </c>
      <c r="M254" s="6">
        <v>926</v>
      </c>
      <c r="N254" s="24">
        <v>0</v>
      </c>
      <c r="O254" s="51">
        <v>0</v>
      </c>
    </row>
    <row r="255" spans="1:15" ht="15.75" customHeight="1" x14ac:dyDescent="0.25">
      <c r="A255" s="50"/>
      <c r="B255" s="6" t="s">
        <v>22</v>
      </c>
      <c r="C255" s="14"/>
      <c r="D255" s="43">
        <v>0.17578887861034256</v>
      </c>
      <c r="E255" s="6">
        <f>VLOOKUP(B255,'[1]Atlas Brasil'!B$3:C$248,2,0)</f>
        <v>0.71899999999999997</v>
      </c>
      <c r="F255" s="23" t="s">
        <v>306</v>
      </c>
      <c r="G255" s="6">
        <v>23812</v>
      </c>
      <c r="H255" s="8">
        <v>26430.06</v>
      </c>
      <c r="I255" s="9">
        <v>0.4</v>
      </c>
      <c r="J255" s="6">
        <v>9.4600000000000009</v>
      </c>
      <c r="K255" s="9">
        <f>42900/147039</f>
        <v>0.29175932915757041</v>
      </c>
      <c r="L255" s="6">
        <v>29784</v>
      </c>
      <c r="M255" s="6">
        <v>5587</v>
      </c>
      <c r="N255" s="24">
        <v>0</v>
      </c>
      <c r="O255" s="51">
        <v>0</v>
      </c>
    </row>
    <row r="256" spans="1:15" ht="16.5" customHeight="1" x14ac:dyDescent="0.25">
      <c r="A256" s="50"/>
      <c r="B256" s="6" t="s">
        <v>177</v>
      </c>
      <c r="C256" s="7"/>
      <c r="D256" s="43">
        <v>0.15867147010491747</v>
      </c>
      <c r="E256" s="6">
        <f>VLOOKUP(B256,'[1]Atlas Brasil'!B$3:C$248,2,0)</f>
        <v>0.69299999999999995</v>
      </c>
      <c r="F256" s="23" t="s">
        <v>308</v>
      </c>
      <c r="G256" s="6">
        <v>2929</v>
      </c>
      <c r="H256" s="12">
        <v>12565.32</v>
      </c>
      <c r="I256" s="9">
        <v>0.02</v>
      </c>
      <c r="J256" s="6">
        <v>13.76</v>
      </c>
      <c r="K256" s="9">
        <f>4676/147039</f>
        <v>3.1801086786498817E-2</v>
      </c>
      <c r="L256" s="6">
        <v>3968</v>
      </c>
      <c r="M256" s="6">
        <v>545</v>
      </c>
      <c r="N256" s="24">
        <v>0</v>
      </c>
      <c r="O256" s="51">
        <v>0</v>
      </c>
    </row>
    <row r="257" spans="1:15" ht="16.5" customHeight="1" x14ac:dyDescent="0.25">
      <c r="A257" s="50"/>
      <c r="B257" s="6" t="s">
        <v>178</v>
      </c>
      <c r="C257" s="7"/>
      <c r="D257" s="43">
        <v>0.19927283304246574</v>
      </c>
      <c r="E257" s="6">
        <f>VLOOKUP(B257,'[1]Atlas Brasil'!B$3:C$248,2,0)</f>
        <v>0.71799999999999997</v>
      </c>
      <c r="F257" s="23" t="s">
        <v>277</v>
      </c>
      <c r="G257" s="6">
        <v>3527</v>
      </c>
      <c r="H257" s="12">
        <v>12432.75</v>
      </c>
      <c r="I257" s="9">
        <v>0.03</v>
      </c>
      <c r="J257" s="6">
        <v>12.97</v>
      </c>
      <c r="K257" s="9">
        <f>5237/147039</f>
        <v>3.5616401090867049E-2</v>
      </c>
      <c r="L257" s="6">
        <v>4521</v>
      </c>
      <c r="M257" s="6">
        <v>916</v>
      </c>
      <c r="N257" s="7" t="s">
        <v>251</v>
      </c>
      <c r="O257" s="51">
        <v>0</v>
      </c>
    </row>
    <row r="258" spans="1:15" ht="16.5" customHeight="1" x14ac:dyDescent="0.25">
      <c r="A258" s="50"/>
      <c r="B258" s="6" t="s">
        <v>179</v>
      </c>
      <c r="C258" s="7"/>
      <c r="D258" s="44">
        <v>0.15443507710044391</v>
      </c>
      <c r="E258" s="6">
        <f>VLOOKUP(B258,'[1]Atlas Brasil'!B$3:C$248,2,0)</f>
        <v>0.72599999999999998</v>
      </c>
      <c r="F258" s="23" t="s">
        <v>383</v>
      </c>
      <c r="G258" s="6">
        <v>17269</v>
      </c>
      <c r="H258" s="12">
        <v>14523.96</v>
      </c>
      <c r="I258" s="9">
        <v>0.01</v>
      </c>
      <c r="J258" s="6">
        <v>13.03</v>
      </c>
      <c r="K258" s="9">
        <f>25768/147039</f>
        <v>0.17524602316392249</v>
      </c>
      <c r="L258" s="6">
        <v>21235</v>
      </c>
      <c r="M258" s="6">
        <v>4890</v>
      </c>
      <c r="N258" s="7" t="s">
        <v>251</v>
      </c>
      <c r="O258" s="51">
        <v>0</v>
      </c>
    </row>
    <row r="259" spans="1:15" ht="16.5" customHeight="1" x14ac:dyDescent="0.25">
      <c r="A259" s="50"/>
      <c r="B259" s="6" t="s">
        <v>180</v>
      </c>
      <c r="C259" s="7"/>
      <c r="D259" s="43">
        <v>0.16285805509943413</v>
      </c>
      <c r="E259" s="6">
        <f>VLOOKUP(B259,'[1]Atlas Brasil'!B$3:C$248,2,0)</f>
        <v>0.71799999999999997</v>
      </c>
      <c r="F259" s="23" t="s">
        <v>277</v>
      </c>
      <c r="G259" s="6">
        <v>5602</v>
      </c>
      <c r="H259" s="12">
        <v>14219.45</v>
      </c>
      <c r="I259" s="9">
        <v>0.04</v>
      </c>
      <c r="J259" s="6">
        <v>11.15</v>
      </c>
      <c r="K259" s="9">
        <f>8938/147039</f>
        <v>6.0786594032875632E-2</v>
      </c>
      <c r="L259" s="6">
        <v>6461</v>
      </c>
      <c r="M259" s="6">
        <v>2114</v>
      </c>
      <c r="N259" s="24" t="s">
        <v>258</v>
      </c>
      <c r="O259" s="51">
        <v>0</v>
      </c>
    </row>
    <row r="260" spans="1:15" ht="16.5" customHeight="1" x14ac:dyDescent="0.25">
      <c r="A260" s="50"/>
      <c r="B260" s="6" t="s">
        <v>181</v>
      </c>
      <c r="C260" s="7"/>
      <c r="D260" s="43">
        <v>0.22045142192620798</v>
      </c>
      <c r="E260" s="6">
        <f>VLOOKUP(B260,'[1]Atlas Brasil'!B$3:C$248,2,0)</f>
        <v>0.67900000000000005</v>
      </c>
      <c r="F260" s="23" t="s">
        <v>384</v>
      </c>
      <c r="G260" s="6">
        <v>2926</v>
      </c>
      <c r="H260" s="13">
        <v>21738</v>
      </c>
      <c r="I260" s="9">
        <v>0.02</v>
      </c>
      <c r="J260" s="6">
        <v>15.72</v>
      </c>
      <c r="K260" s="9">
        <f>4351/147039</f>
        <v>2.9590788838335408E-2</v>
      </c>
      <c r="L260" s="6">
        <v>2995</v>
      </c>
      <c r="M260" s="6">
        <v>1419</v>
      </c>
      <c r="N260" s="24">
        <v>0</v>
      </c>
      <c r="O260" s="51">
        <v>0</v>
      </c>
    </row>
    <row r="261" spans="1:15" ht="100.5" customHeight="1" x14ac:dyDescent="0.25">
      <c r="A261" s="54" t="s">
        <v>425</v>
      </c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55"/>
    </row>
    <row r="262" spans="1:15" x14ac:dyDescent="0.25">
      <c r="A262" s="56" t="s">
        <v>424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57"/>
    </row>
    <row r="263" spans="1:15" x14ac:dyDescent="0.25">
      <c r="A263" s="56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57"/>
    </row>
    <row r="264" spans="1:15" x14ac:dyDescent="0.25">
      <c r="A264" s="56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57"/>
    </row>
    <row r="265" spans="1:15" x14ac:dyDescent="0.25">
      <c r="A265" s="56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57"/>
    </row>
    <row r="266" spans="1:15" ht="16.5" thickBot="1" x14ac:dyDescent="0.3">
      <c r="A266" s="58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60"/>
    </row>
    <row r="272" spans="1:15" ht="31.5" customHeight="1" x14ac:dyDescent="0.25"/>
    <row r="274" ht="31.5" customHeight="1" x14ac:dyDescent="0.25"/>
    <row r="277" ht="63" customHeight="1" x14ac:dyDescent="0.25"/>
    <row r="278" ht="31.5" customHeight="1" x14ac:dyDescent="0.25"/>
  </sheetData>
  <autoFilter ref="A4:O4"/>
  <customSheetViews>
    <customSheetView guid="{1B8ACDDC-8C73-4704-AF75-B6F97D6F50A5}" showPageBreaks="1" view="pageBreakPreview">
      <pane ySplit="1" topLeftCell="A2" activePane="bottomLeft" state="frozen"/>
      <selection pane="bottomLeft" activeCell="C1" sqref="C1:C2"/>
      <rowBreaks count="1" manualBreakCount="1">
        <brk id="51" max="16383" man="1"/>
      </rowBreaks>
      <colBreaks count="4" manualBreakCount="4">
        <brk id="6" max="1048575" man="1"/>
        <brk id="14" max="1048575" man="1"/>
        <brk id="22" max="1048575" man="1"/>
        <brk id="30" max="1048575" man="1"/>
      </col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73" fitToHeight="0" pageOrder="overThenDown" orientation="portrait" horizontalDpi="4294967294" verticalDpi="4294967294" r:id="rId1"/>
    </customSheetView>
  </customSheetViews>
  <mergeCells count="38">
    <mergeCell ref="A2:O2"/>
    <mergeCell ref="A262:O266"/>
    <mergeCell ref="B14:B15"/>
    <mergeCell ref="A107:A125"/>
    <mergeCell ref="A127:A148"/>
    <mergeCell ref="A177:A202"/>
    <mergeCell ref="A261:O261"/>
    <mergeCell ref="A176:O176"/>
    <mergeCell ref="A203:O203"/>
    <mergeCell ref="A247:O247"/>
    <mergeCell ref="A248:A260"/>
    <mergeCell ref="A204:A246"/>
    <mergeCell ref="A5:A25"/>
    <mergeCell ref="A150:A175"/>
    <mergeCell ref="A106:O106"/>
    <mergeCell ref="A126:O126"/>
    <mergeCell ref="A149:O149"/>
    <mergeCell ref="F3:F4"/>
    <mergeCell ref="G3:G4"/>
    <mergeCell ref="A26:O26"/>
    <mergeCell ref="A58:O58"/>
    <mergeCell ref="A85:O85"/>
    <mergeCell ref="A86:A105"/>
    <mergeCell ref="A59:A84"/>
    <mergeCell ref="A27:A57"/>
    <mergeCell ref="H3:H4"/>
    <mergeCell ref="A1:O1"/>
    <mergeCell ref="N3:N4"/>
    <mergeCell ref="O3:O4"/>
    <mergeCell ref="A3:A4"/>
    <mergeCell ref="B3:B4"/>
    <mergeCell ref="L3:M3"/>
    <mergeCell ref="I3:I4"/>
    <mergeCell ref="J3:J4"/>
    <mergeCell ref="K3:K4"/>
    <mergeCell ref="E3:E4"/>
    <mergeCell ref="D3:D4"/>
    <mergeCell ref="C3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pageOrder="overThenDown" orientation="portrait" horizontalDpi="4294967294" verticalDpi="4294967294" r:id="rId2"/>
  <headerFooter>
    <oddHeader>&amp;C&amp;"-,Negrito"&amp;18REGIÕES DOS ITEGO'S</oddHead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Goncalves Fonseca</dc:creator>
  <cp:lastModifiedBy>Mychelly Simões</cp:lastModifiedBy>
  <cp:lastPrinted>2019-08-07T13:57:21Z</cp:lastPrinted>
  <dcterms:created xsi:type="dcterms:W3CDTF">2019-07-01T11:43:57Z</dcterms:created>
  <dcterms:modified xsi:type="dcterms:W3CDTF">2020-10-02T15:42:43Z</dcterms:modified>
</cp:coreProperties>
</file>